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<sst xmlns="http://schemas.openxmlformats.org/spreadsheetml/2006/main" count="513" uniqueCount="205">
  <si>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</si>
  <si>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</si>
  <si>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</si>
  <si>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</si>
  <si>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</si>
  <si>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</si>
  <si>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</si>
  <si>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</si>
  <si>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</si>
  <si>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</si>
  <si>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</si>
  <si>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</si>
  <si>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</si>
  <si>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</si>
  <si>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</si>
  <si>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</si>
  <si>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</si>
  <si>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</si>
  <si>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</si>
  <si>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</si>
  <si>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</si>
  <si>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</si>
  <si>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</si>
  <si>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</si>
  <si>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</si>
  <si>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</si>
  <si>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</si>
  <si>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</si>
  <si>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</si>
  <si>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</si>
  <si>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</si>
  <si>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</si>
  <si>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</si>
  <si>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</si>
  <si>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Poznámka:</t>
  </si>
  <si>
    <t>Objekt</t>
  </si>
  <si>
    <t>A</t>
  </si>
  <si>
    <t>B</t>
  </si>
  <si>
    <t>Kód</t>
  </si>
  <si>
    <t>722</t>
  </si>
  <si>
    <t>722269101R00</t>
  </si>
  <si>
    <t>722172413R00</t>
  </si>
  <si>
    <t>734</t>
  </si>
  <si>
    <t>734294313R00</t>
  </si>
  <si>
    <t>734164156R00</t>
  </si>
  <si>
    <t>97</t>
  </si>
  <si>
    <t>970051060R00</t>
  </si>
  <si>
    <t>55111436</t>
  </si>
  <si>
    <t>31943529</t>
  </si>
  <si>
    <t>31945191</t>
  </si>
  <si>
    <t>55118002</t>
  </si>
  <si>
    <t>5511001785</t>
  </si>
  <si>
    <t>28656226</t>
  </si>
  <si>
    <t>28654374</t>
  </si>
  <si>
    <t>28655108</t>
  </si>
  <si>
    <t>5511001781</t>
  </si>
  <si>
    <t>28600805</t>
  </si>
  <si>
    <t>722130236R00</t>
  </si>
  <si>
    <t>319502001</t>
  </si>
  <si>
    <t>28654346.A</t>
  </si>
  <si>
    <t>Sokolov</t>
  </si>
  <si>
    <t>Zkrácený popis</t>
  </si>
  <si>
    <t>Rozměry</t>
  </si>
  <si>
    <t>Rozvod pitné vody</t>
  </si>
  <si>
    <t>Vnitřní vodovod</t>
  </si>
  <si>
    <t>Montáž vodoměru přírubového šroubového DN 50</t>
  </si>
  <si>
    <t>Armatury</t>
  </si>
  <si>
    <t>Kohout kulový vypouštěcí,převleč.matice,HERZ DN 20</t>
  </si>
  <si>
    <t>Filtr přírubový HERZ, DN 50, do přírub</t>
  </si>
  <si>
    <t>Prorážení otvorů a ostatní bourací práce</t>
  </si>
  <si>
    <t>Ostatní materiál</t>
  </si>
  <si>
    <t>K-1039 zpětný ventil Standard DN50</t>
  </si>
  <si>
    <t>Vsuvka jednoduchá č. 531  DN     2" pozinkovaná</t>
  </si>
  <si>
    <t>Redukce  1581G   2" x 5/4"   mosazné</t>
  </si>
  <si>
    <t>Redukce D 50/32 PP R Instaplast</t>
  </si>
  <si>
    <t>Rozvod požární vody</t>
  </si>
  <si>
    <t>Potrubí z trub.závit.pozink.svařovan. 11343,DN 50</t>
  </si>
  <si>
    <t>Koleno 45° ocelové,  M/M d = 50 mm</t>
  </si>
  <si>
    <t>606537 Přechodka Mepla s vnějším závitem d 50-6/4"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</si>
  <si>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</si>
  <si>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</si>
  <si>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</si>
  <si>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</si>
  <si>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</si>
  <si>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</si>
  <si>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</si>
  <si>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</si>
  <si>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</si>
  <si>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</si>
  <si>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</si>
  <si>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</si>
  <si>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</si>
  <si>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</si>
  <si>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</si>
  <si>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</si>
  <si>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</si>
  <si>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</si>
  <si>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</si>
  <si>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</si>
  <si>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</si>
  <si>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</si>
  <si>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</si>
  <si>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</si>
  <si>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</si>
  <si>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</si>
  <si>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PS</t>
  </si>
  <si>
    <t>HS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</si>
  <si>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</si>
  <si>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</si>
  <si>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</si>
  <si>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</si>
  <si>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</si>
  <si>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</si>
  <si>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</si>
  <si>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</si>
  <si>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722_</t>
  </si>
  <si>
    <t>734_</t>
  </si>
  <si>
    <t>97_</t>
  </si>
  <si>
    <t>Z99999_</t>
  </si>
  <si>
    <t>72_</t>
  </si>
  <si>
    <t>73_</t>
  </si>
  <si>
    <t>9_</t>
  </si>
  <si>
    <t>Z_</t>
  </si>
  <si>
    <t>A_</t>
  </si>
  <si>
    <t>B_</t>
  </si>
  <si>
    <t>Rozpočtové náklady v Kč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</si>
  <si>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</si>
  <si>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</si>
  <si>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</si>
  <si>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</si>
  <si>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</si>
  <si>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</si>
  <si>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</si>
  <si>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</si>
  <si>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</si>
  <si>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</si>
  <si>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</si>
  <si>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</si>
  <si>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</si>
  <si>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</si>
  <si>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</si>
  <si>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</si>
  <si>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</si>
  <si>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</si>
  <si>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</si>
  <si>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</si>
  <si>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</si>
  <si>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</si>
  <si>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</si>
  <si>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</si>
  <si>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</si>
  <si>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</si>
  <si>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</si>
  <si>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</si>
  <si>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</si>
  <si>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</si>
  <si>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</si>
  <si>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</si>
  <si>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</si>
  <si>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</si>
  <si>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</si>
  <si>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</si>
  <si>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</si>
  <si>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</si>
  <si>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</si>
  <si>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</si>
  <si>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</t>
  </si>
  <si>
    <t>Souprava vodoměrná vč. vodoměru Itron Aquadis +</t>
  </si>
  <si>
    <t>Stavební práce</t>
  </si>
  <si>
    <t>Montáž lišt vrtaných</t>
  </si>
  <si>
    <t>Ing. Milan Snoopek</t>
  </si>
  <si>
    <t xml:space="preserve">Oprava vnitřního rozvodu pitné vody a požárního vodovodu, č.p. 94, 95, 96, 97, k.ú. Sokolov
</t>
  </si>
  <si>
    <t xml:space="preserve">opravy, rekonstrukce
</t>
  </si>
  <si>
    <t>RTS I / 2017</t>
  </si>
  <si>
    <t>Filtr 2", mosaz</t>
  </si>
  <si>
    <t xml:space="preserve">Uzávěr kulový  2" </t>
  </si>
  <si>
    <t>T kus   50 x 50 x 50 mm</t>
  </si>
  <si>
    <t xml:space="preserve">Uzávěr kulový  PPR d 32" </t>
  </si>
  <si>
    <t>T kus PPR d32/25</t>
  </si>
  <si>
    <t>T kus  50 x 50 x 50 mm</t>
  </si>
  <si>
    <t>Přechodka</t>
  </si>
  <si>
    <t>99</t>
  </si>
  <si>
    <t xml:space="preserve">Přesun hmot </t>
  </si>
  <si>
    <t>t</t>
  </si>
  <si>
    <t>30</t>
  </si>
  <si>
    <t>31</t>
  </si>
  <si>
    <t>33</t>
  </si>
  <si>
    <t>34</t>
  </si>
  <si>
    <t>35</t>
  </si>
  <si>
    <t>36</t>
  </si>
  <si>
    <t>37</t>
  </si>
  <si>
    <t>38</t>
  </si>
  <si>
    <t>Sokolovská bytová s.r.o. 
Komenského 77
356  40 Sokolov</t>
  </si>
  <si>
    <t>DIČ: CZ25216741</t>
  </si>
  <si>
    <t>Ing. Milan Snopek</t>
  </si>
  <si>
    <t xml:space="preserve">IČ: 25216741     </t>
  </si>
  <si>
    <t>IČ: 03122905</t>
  </si>
  <si>
    <t>opravy, rekonstrukce</t>
  </si>
  <si>
    <t>Vrtání jádrové do ŽB</t>
  </si>
  <si>
    <t xml:space="preserve">Lišta instalační </t>
  </si>
  <si>
    <t>Lišta instalační</t>
  </si>
  <si>
    <t>07.17.2016</t>
  </si>
  <si>
    <t xml:space="preserve">Potrubí z PPR Ekoplastik, D 32 </t>
  </si>
  <si>
    <t>10</t>
  </si>
  <si>
    <t>32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</si>
</sst>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5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9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3" fillId="35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4" xfId="0" applyNumberFormat="1" applyFont="1" applyFill="1" applyBorder="1" applyAlignment="1" applyProtection="1">
      <alignment horizontal="left" vertical="center"/>
      <protection/>
    </xf>
    <xf numFmtId="49" fontId="13" fillId="35" borderId="45" xfId="0" applyNumberFormat="1" applyFont="1" applyFill="1" applyBorder="1" applyAlignment="1" applyProtection="1">
      <alignment horizontal="left" vertical="center"/>
      <protection/>
    </xf>
    <xf numFmtId="0" fontId="13" fillId="35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45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1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7"/>
  <sheetViews>
    <sheetView zoomScalePageLayoutView="0" workbookViewId="0" topLeftCell="A1">
      <selection activeCell="A64" sqref="A12:A6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7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ht="30" customHeight="1">
      <c r="A2" s="94" t="s">
        <v>1</v>
      </c>
      <c r="B2" s="95"/>
      <c r="C2" s="95"/>
      <c r="D2" s="88" t="s">
        <v>171</v>
      </c>
      <c r="E2" s="96" t="s">
        <v>79</v>
      </c>
      <c r="F2" s="95"/>
      <c r="G2" s="96"/>
      <c r="H2" s="95"/>
      <c r="I2" s="97" t="s">
        <v>92</v>
      </c>
      <c r="J2" s="98" t="s">
        <v>192</v>
      </c>
      <c r="K2" s="95"/>
      <c r="L2" s="95"/>
      <c r="M2" s="99"/>
      <c r="N2" s="34"/>
    </row>
    <row r="3" spans="1:14" ht="12.75">
      <c r="A3" s="90"/>
      <c r="B3" s="71"/>
      <c r="C3" s="71"/>
      <c r="D3" s="89"/>
      <c r="E3" s="71"/>
      <c r="F3" s="71"/>
      <c r="G3" s="71"/>
      <c r="H3" s="71"/>
      <c r="I3" s="71"/>
      <c r="J3" s="71"/>
      <c r="K3" s="71"/>
      <c r="L3" s="71"/>
      <c r="M3" s="81"/>
      <c r="N3" s="34"/>
    </row>
    <row r="4" spans="1:14" ht="12.75">
      <c r="A4" s="82" t="s">
        <v>2</v>
      </c>
      <c r="B4" s="71"/>
      <c r="C4" s="71"/>
      <c r="D4" s="88" t="s">
        <v>172</v>
      </c>
      <c r="E4" s="85" t="s">
        <v>80</v>
      </c>
      <c r="F4" s="71"/>
      <c r="G4" s="86"/>
      <c r="H4" s="71"/>
      <c r="I4" s="70" t="s">
        <v>93</v>
      </c>
      <c r="J4" s="70" t="s">
        <v>170</v>
      </c>
      <c r="K4" s="71"/>
      <c r="L4" s="71"/>
      <c r="M4" s="81"/>
      <c r="N4" s="34"/>
    </row>
    <row r="5" spans="1:14" ht="15" customHeight="1">
      <c r="A5" s="90"/>
      <c r="B5" s="71"/>
      <c r="C5" s="71"/>
      <c r="D5" s="89"/>
      <c r="E5" s="71"/>
      <c r="F5" s="71"/>
      <c r="G5" s="71"/>
      <c r="H5" s="71"/>
      <c r="I5" s="71"/>
      <c r="J5" s="71"/>
      <c r="K5" s="71"/>
      <c r="L5" s="71"/>
      <c r="M5" s="81"/>
      <c r="N5" s="34"/>
    </row>
    <row r="6" spans="1:14" ht="12.75">
      <c r="A6" s="82" t="s">
        <v>3</v>
      </c>
      <c r="B6" s="71"/>
      <c r="C6" s="71"/>
      <c r="D6" s="70" t="s">
        <v>60</v>
      </c>
      <c r="E6" s="85" t="s">
        <v>81</v>
      </c>
      <c r="F6" s="71"/>
      <c r="G6" s="71"/>
      <c r="H6" s="71"/>
      <c r="I6" s="70" t="s">
        <v>94</v>
      </c>
      <c r="J6" s="70"/>
      <c r="K6" s="71"/>
      <c r="L6" s="71"/>
      <c r="M6" s="81"/>
      <c r="N6" s="34"/>
    </row>
    <row r="7" spans="1:14" ht="12.75">
      <c r="A7" s="9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81"/>
      <c r="N7" s="34"/>
    </row>
    <row r="8" spans="1:14" ht="12.75">
      <c r="A8" s="82" t="s">
        <v>4</v>
      </c>
      <c r="B8" s="71"/>
      <c r="C8" s="71"/>
      <c r="D8" s="70"/>
      <c r="E8" s="85" t="s">
        <v>82</v>
      </c>
      <c r="F8" s="71"/>
      <c r="G8" s="86">
        <v>42681</v>
      </c>
      <c r="H8" s="71"/>
      <c r="I8" s="70" t="s">
        <v>95</v>
      </c>
      <c r="J8" s="70" t="s">
        <v>170</v>
      </c>
      <c r="K8" s="71"/>
      <c r="L8" s="71"/>
      <c r="M8" s="81"/>
      <c r="N8" s="34"/>
    </row>
    <row r="9" spans="1:14" ht="12.7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7"/>
      <c r="N9" s="34"/>
    </row>
    <row r="10" spans="1:14" ht="12.75">
      <c r="A10" s="1" t="s">
        <v>5</v>
      </c>
      <c r="B10" s="11" t="s">
        <v>35</v>
      </c>
      <c r="C10" s="11" t="s">
        <v>38</v>
      </c>
      <c r="D10" s="11" t="s">
        <v>61</v>
      </c>
      <c r="E10" s="11" t="s">
        <v>83</v>
      </c>
      <c r="F10" s="17" t="s">
        <v>86</v>
      </c>
      <c r="G10" s="21" t="s">
        <v>87</v>
      </c>
      <c r="H10" s="76" t="s">
        <v>89</v>
      </c>
      <c r="I10" s="77"/>
      <c r="J10" s="78"/>
      <c r="K10" s="76" t="s">
        <v>98</v>
      </c>
      <c r="L10" s="78"/>
      <c r="M10" s="29" t="s">
        <v>99</v>
      </c>
      <c r="N10" s="35"/>
    </row>
    <row r="11" spans="1:24" ht="12.75">
      <c r="A11" s="2" t="s">
        <v>6</v>
      </c>
      <c r="B11" s="12" t="s">
        <v>6</v>
      </c>
      <c r="C11" s="12" t="s">
        <v>6</v>
      </c>
      <c r="D11" s="16" t="s">
        <v>62</v>
      </c>
      <c r="E11" s="12" t="s">
        <v>6</v>
      </c>
      <c r="F11" s="12" t="s">
        <v>6</v>
      </c>
      <c r="G11" s="22" t="s">
        <v>88</v>
      </c>
      <c r="H11" s="23" t="s">
        <v>90</v>
      </c>
      <c r="I11" s="24" t="s">
        <v>96</v>
      </c>
      <c r="J11" s="25" t="s">
        <v>97</v>
      </c>
      <c r="K11" s="23" t="s">
        <v>87</v>
      </c>
      <c r="L11" s="25" t="s">
        <v>97</v>
      </c>
      <c r="M11" s="30" t="s">
        <v>100</v>
      </c>
      <c r="N11" s="35"/>
      <c r="P11" s="27" t="s">
        <v>103</v>
      </c>
      <c r="Q11" s="27" t="s">
        <v>104</v>
      </c>
      <c r="R11" s="27" t="s">
        <v>108</v>
      </c>
      <c r="S11" s="27" t="s">
        <v>109</v>
      </c>
      <c r="T11" s="27" t="s">
        <v>110</v>
      </c>
      <c r="U11" s="27" t="s">
        <v>111</v>
      </c>
      <c r="V11" s="27" t="s">
        <v>112</v>
      </c>
      <c r="W11" s="27" t="s">
        <v>113</v>
      </c>
      <c r="X11" s="27" t="s">
        <v>114</v>
      </c>
    </row>
    <row r="12" spans="1:13" ht="12.75">
      <c r="A12" s="3"/>
      <c r="B12" s="13" t="s">
        <v>36</v>
      </c>
      <c r="C12" s="13"/>
      <c r="D12" s="79" t="s">
        <v>63</v>
      </c>
      <c r="E12" s="80"/>
      <c r="F12" s="80"/>
      <c r="G12" s="80"/>
      <c r="H12" s="38">
        <f>H13+H17+H20+H24</f>
        <v>0</v>
      </c>
      <c r="I12" s="38">
        <f>I13+I17+I20+I24</f>
        <v>0</v>
      </c>
      <c r="J12" s="38">
        <f>H12+I12</f>
        <v>0</v>
      </c>
      <c r="K12" s="26"/>
      <c r="L12" s="38">
        <f>L13+L17+L20+L24</f>
        <v>4.705045</v>
      </c>
      <c r="M12" s="26"/>
    </row>
    <row r="13" spans="1:37" ht="12.75">
      <c r="A13" s="4"/>
      <c r="B13" s="14" t="s">
        <v>36</v>
      </c>
      <c r="C13" s="14" t="s">
        <v>39</v>
      </c>
      <c r="D13" s="72" t="s">
        <v>64</v>
      </c>
      <c r="E13" s="73"/>
      <c r="F13" s="73"/>
      <c r="G13" s="73"/>
      <c r="H13" s="39">
        <f>SUM(H14:H16)</f>
        <v>0</v>
      </c>
      <c r="I13" s="39">
        <f>SUM(I14:I16)</f>
        <v>0</v>
      </c>
      <c r="J13" s="39">
        <f>H13+I13</f>
        <v>0</v>
      </c>
      <c r="K13" s="27"/>
      <c r="L13" s="39">
        <f>SUM(L14:L16)</f>
        <v>0.608005</v>
      </c>
      <c r="M13" s="27"/>
      <c r="P13" s="39">
        <f>IF(Q13="PR",J13,SUM(O14:O15))</f>
        <v>0</v>
      </c>
      <c r="Q13" s="27" t="s">
        <v>105</v>
      </c>
      <c r="R13" s="39">
        <f>IF(Q13="HS",H13,0)</f>
        <v>0</v>
      </c>
      <c r="S13" s="39">
        <f>IF(Q13="HS",I13-P13,0)</f>
        <v>0</v>
      </c>
      <c r="T13" s="39">
        <f>IF(Q13="PS",H13,0)</f>
        <v>0</v>
      </c>
      <c r="U13" s="39">
        <f>IF(Q13="PS",I13-P13,0)</f>
        <v>0</v>
      </c>
      <c r="V13" s="39">
        <f>IF(Q13="MP",H13,0)</f>
        <v>0</v>
      </c>
      <c r="W13" s="39">
        <f>IF(Q13="MP",I13-P13,0)</f>
        <v>0</v>
      </c>
      <c r="X13" s="39">
        <f>IF(Q13="OM",H13,0)</f>
        <v>0</v>
      </c>
      <c r="Y13" s="27" t="s">
        <v>36</v>
      </c>
      <c r="AI13" s="39">
        <f>SUM(Z14:Z15)</f>
        <v>0</v>
      </c>
      <c r="AJ13" s="39">
        <f>SUM(AA14:AA15)</f>
        <v>0</v>
      </c>
      <c r="AK13" s="39">
        <f>SUM(AB14:AB15)</f>
        <v>0</v>
      </c>
    </row>
    <row r="14" spans="1:43" ht="12.75">
      <c r="A14" s="5" t="s">
        <v>7</v>
      </c>
      <c r="B14" s="5" t="s">
        <v>36</v>
      </c>
      <c r="C14" s="5" t="s">
        <v>40</v>
      </c>
      <c r="D14" s="5" t="s">
        <v>65</v>
      </c>
      <c r="E14" s="5" t="s">
        <v>84</v>
      </c>
      <c r="F14" s="18">
        <v>4</v>
      </c>
      <c r="G14" s="18"/>
      <c r="H14" s="18">
        <f>F14*AE14</f>
        <v>0</v>
      </c>
      <c r="I14" s="18">
        <f>J14-H14</f>
        <v>0</v>
      </c>
      <c r="J14" s="18">
        <f>F14*G14</f>
        <v>0</v>
      </c>
      <c r="K14" s="18">
        <v>0.00551</v>
      </c>
      <c r="L14" s="18">
        <f>F14*K14</f>
        <v>0.02204</v>
      </c>
      <c r="M14" s="31" t="s">
        <v>101</v>
      </c>
      <c r="N14" s="31" t="s">
        <v>7</v>
      </c>
      <c r="O14" s="18">
        <f>IF(N14="5",I14,0)</f>
        <v>0</v>
      </c>
      <c r="Z14" s="18">
        <f>IF(AD14=0,J14,0)</f>
        <v>0</v>
      </c>
      <c r="AA14" s="18">
        <f>IF(AD14=15,J14,0)</f>
        <v>0</v>
      </c>
      <c r="AB14" s="18">
        <f>IF(AD14=21,J14,0)</f>
        <v>0</v>
      </c>
      <c r="AD14" s="36">
        <v>21</v>
      </c>
      <c r="AE14" s="36">
        <f>G14*0.515987055016181</f>
        <v>0</v>
      </c>
      <c r="AF14" s="36">
        <f>G14*(1-0.515987055016181)</f>
        <v>0</v>
      </c>
      <c r="AM14" s="36">
        <f>F14*AE14</f>
        <v>0</v>
      </c>
      <c r="AN14" s="36">
        <f>F14*AF14</f>
        <v>0</v>
      </c>
      <c r="AO14" s="37" t="s">
        <v>115</v>
      </c>
      <c r="AP14" s="37" t="s">
        <v>119</v>
      </c>
      <c r="AQ14" s="27" t="s">
        <v>123</v>
      </c>
    </row>
    <row r="15" spans="1:43" ht="12.75">
      <c r="A15" s="5" t="s">
        <v>8</v>
      </c>
      <c r="B15" s="5" t="s">
        <v>37</v>
      </c>
      <c r="C15" s="5" t="s">
        <v>57</v>
      </c>
      <c r="D15" s="5" t="s">
        <v>76</v>
      </c>
      <c r="E15" s="5" t="s">
        <v>85</v>
      </c>
      <c r="F15" s="18">
        <v>28</v>
      </c>
      <c r="G15" s="18"/>
      <c r="H15" s="18">
        <f>F15*AE7</f>
        <v>0</v>
      </c>
      <c r="I15" s="18">
        <f>J15-H15</f>
        <v>0</v>
      </c>
      <c r="J15" s="18">
        <f>F15*G15</f>
        <v>0</v>
      </c>
      <c r="K15" s="18">
        <v>0.01793</v>
      </c>
      <c r="L15" s="18">
        <f>F15*K15</f>
        <v>0.50204</v>
      </c>
      <c r="M15" s="31" t="s">
        <v>101</v>
      </c>
      <c r="N15" s="31" t="s">
        <v>7</v>
      </c>
      <c r="O15" s="18">
        <f>IF(N15="5",I16,0)</f>
        <v>0</v>
      </c>
      <c r="Z15" s="18">
        <f>IF(AD15=0,J16,0)</f>
        <v>0</v>
      </c>
      <c r="AA15" s="18">
        <f>IF(AD15=15,J16,0)</f>
        <v>0</v>
      </c>
      <c r="AB15" s="18">
        <f>IF(AD15=21,J16,0)</f>
        <v>0</v>
      </c>
      <c r="AD15" s="36">
        <v>21</v>
      </c>
      <c r="AE15" s="36">
        <f>G16*0.344381520119225</f>
        <v>0</v>
      </c>
      <c r="AF15" s="36">
        <f>G16*(1-0.344381520119225)</f>
        <v>0</v>
      </c>
      <c r="AM15" s="36">
        <f>F16*AE15</f>
        <v>0</v>
      </c>
      <c r="AN15" s="36">
        <f>F16*AF15</f>
        <v>0</v>
      </c>
      <c r="AO15" s="37" t="s">
        <v>115</v>
      </c>
      <c r="AP15" s="37" t="s">
        <v>119</v>
      </c>
      <c r="AQ15" s="27" t="s">
        <v>123</v>
      </c>
    </row>
    <row r="16" spans="1:37" ht="12.75">
      <c r="A16" s="5" t="s">
        <v>9</v>
      </c>
      <c r="B16" s="5" t="s">
        <v>36</v>
      </c>
      <c r="C16" s="5" t="s">
        <v>41</v>
      </c>
      <c r="D16" s="5" t="s">
        <v>202</v>
      </c>
      <c r="E16" s="5" t="s">
        <v>85</v>
      </c>
      <c r="F16" s="18">
        <v>111.9</v>
      </c>
      <c r="G16" s="18"/>
      <c r="H16" s="18">
        <f>F16*AE15</f>
        <v>0</v>
      </c>
      <c r="I16" s="18">
        <f>J16-H16</f>
        <v>0</v>
      </c>
      <c r="J16" s="18">
        <f>F16*G16</f>
        <v>0</v>
      </c>
      <c r="K16" s="18">
        <v>0.00075</v>
      </c>
      <c r="L16" s="18">
        <f>F16*K16</f>
        <v>0.083925</v>
      </c>
      <c r="M16" s="31" t="s">
        <v>101</v>
      </c>
      <c r="P16" s="39">
        <f>IF(Q16="PR",J17,SUM(O17:O18))</f>
        <v>0</v>
      </c>
      <c r="Q16" s="27" t="s">
        <v>105</v>
      </c>
      <c r="R16" s="39">
        <f>IF(Q16="HS",H17,0)</f>
        <v>0</v>
      </c>
      <c r="S16" s="39">
        <f>IF(Q16="HS",I17-P16,0)</f>
        <v>0</v>
      </c>
      <c r="T16" s="39">
        <f>IF(Q16="PS",H17,0)</f>
        <v>0</v>
      </c>
      <c r="U16" s="39">
        <f>IF(Q16="PS",I17-P16,0)</f>
        <v>0</v>
      </c>
      <c r="V16" s="39">
        <f>IF(Q16="MP",H17,0)</f>
        <v>0</v>
      </c>
      <c r="W16" s="39">
        <f>IF(Q16="MP",I17-P16,0)</f>
        <v>0</v>
      </c>
      <c r="X16" s="39">
        <f>IF(Q16="OM",H17,0)</f>
        <v>0</v>
      </c>
      <c r="Y16" s="27" t="s">
        <v>36</v>
      </c>
      <c r="AI16" s="39">
        <f>SUM(Z17:Z18)</f>
        <v>0</v>
      </c>
      <c r="AJ16" s="39">
        <f>SUM(AA17:AA18)</f>
        <v>0</v>
      </c>
      <c r="AK16" s="39">
        <f>SUM(AB17:AB18)</f>
        <v>0</v>
      </c>
    </row>
    <row r="17" spans="1:43" ht="12.75">
      <c r="A17" s="4"/>
      <c r="B17" s="14" t="s">
        <v>36</v>
      </c>
      <c r="C17" s="14" t="s">
        <v>42</v>
      </c>
      <c r="D17" s="72" t="s">
        <v>66</v>
      </c>
      <c r="E17" s="73"/>
      <c r="F17" s="73"/>
      <c r="G17" s="73"/>
      <c r="H17" s="39">
        <f>SUM(H18:H19)</f>
        <v>0</v>
      </c>
      <c r="I17" s="39">
        <f>SUM(I18:I19)</f>
        <v>0</v>
      </c>
      <c r="J17" s="39">
        <f>H17+I17</f>
        <v>0</v>
      </c>
      <c r="K17" s="27"/>
      <c r="L17" s="39">
        <f>SUM(L18:L19)</f>
        <v>0.0478</v>
      </c>
      <c r="M17" s="27"/>
      <c r="N17" s="31" t="s">
        <v>7</v>
      </c>
      <c r="O17" s="18">
        <f>IF(N17="5",I18,0)</f>
        <v>0</v>
      </c>
      <c r="Z17" s="18">
        <f>IF(AD17=0,J18,0)</f>
        <v>0</v>
      </c>
      <c r="AA17" s="18">
        <f>IF(AD17=15,J18,0)</f>
        <v>0</v>
      </c>
      <c r="AB17" s="18">
        <f>IF(AD17=21,J18,0)</f>
        <v>0</v>
      </c>
      <c r="AD17" s="36">
        <v>21</v>
      </c>
      <c r="AE17" s="36">
        <f>G18*0.843884297520661</f>
        <v>0</v>
      </c>
      <c r="AF17" s="36">
        <f>G18*(1-0.843884297520661)</f>
        <v>0</v>
      </c>
      <c r="AM17" s="36">
        <f>F18*AE17</f>
        <v>0</v>
      </c>
      <c r="AN17" s="36">
        <f>F18*AF17</f>
        <v>0</v>
      </c>
      <c r="AO17" s="37" t="s">
        <v>116</v>
      </c>
      <c r="AP17" s="37" t="s">
        <v>120</v>
      </c>
      <c r="AQ17" s="27" t="s">
        <v>123</v>
      </c>
    </row>
    <row r="18" spans="1:43" ht="12.75">
      <c r="A18" s="5" t="s">
        <v>10</v>
      </c>
      <c r="B18" s="5" t="s">
        <v>36</v>
      </c>
      <c r="C18" s="5" t="s">
        <v>43</v>
      </c>
      <c r="D18" s="5" t="s">
        <v>67</v>
      </c>
      <c r="E18" s="5" t="s">
        <v>84</v>
      </c>
      <c r="F18" s="18">
        <v>4</v>
      </c>
      <c r="G18" s="18"/>
      <c r="H18" s="18">
        <f>F18*AE17</f>
        <v>0</v>
      </c>
      <c r="I18" s="18">
        <f>J18-H18</f>
        <v>0</v>
      </c>
      <c r="J18" s="18">
        <f>F18*G18</f>
        <v>0</v>
      </c>
      <c r="K18" s="18">
        <v>0.00017</v>
      </c>
      <c r="L18" s="18">
        <f>F18*K18</f>
        <v>0.00068</v>
      </c>
      <c r="M18" s="31" t="s">
        <v>101</v>
      </c>
      <c r="N18" s="31" t="s">
        <v>7</v>
      </c>
      <c r="O18" s="18">
        <f>IF(N18="5",I19,0)</f>
        <v>0</v>
      </c>
      <c r="Z18" s="18">
        <f>IF(AD18=0,J19,0)</f>
        <v>0</v>
      </c>
      <c r="AA18" s="18">
        <f>IF(AD18=15,J19,0)</f>
        <v>0</v>
      </c>
      <c r="AB18" s="18">
        <f>IF(AD18=21,J19,0)</f>
        <v>0</v>
      </c>
      <c r="AD18" s="36">
        <v>21</v>
      </c>
      <c r="AE18" s="36">
        <f>G19*0.936656680647094</f>
        <v>0</v>
      </c>
      <c r="AF18" s="36">
        <f>G19*(1-0.936656680647094)</f>
        <v>0</v>
      </c>
      <c r="AM18" s="36">
        <f>F19*AE18</f>
        <v>0</v>
      </c>
      <c r="AN18" s="36">
        <f>F19*AF18</f>
        <v>0</v>
      </c>
      <c r="AO18" s="37" t="s">
        <v>116</v>
      </c>
      <c r="AP18" s="37" t="s">
        <v>120</v>
      </c>
      <c r="AQ18" s="27" t="s">
        <v>123</v>
      </c>
    </row>
    <row r="19" spans="1:37" ht="12.75">
      <c r="A19" s="5" t="s">
        <v>11</v>
      </c>
      <c r="B19" s="5" t="s">
        <v>36</v>
      </c>
      <c r="C19" s="5" t="s">
        <v>44</v>
      </c>
      <c r="D19" s="5" t="s">
        <v>68</v>
      </c>
      <c r="E19" s="5" t="s">
        <v>84</v>
      </c>
      <c r="F19" s="18">
        <v>4</v>
      </c>
      <c r="G19" s="18"/>
      <c r="H19" s="18">
        <f>F19*AE18</f>
        <v>0</v>
      </c>
      <c r="I19" s="18">
        <f>J19-H19</f>
        <v>0</v>
      </c>
      <c r="J19" s="18">
        <f>F19*G19</f>
        <v>0</v>
      </c>
      <c r="K19" s="18">
        <v>0.01178</v>
      </c>
      <c r="L19" s="18">
        <f>F19*K19</f>
        <v>0.04712</v>
      </c>
      <c r="M19" s="31" t="s">
        <v>101</v>
      </c>
      <c r="P19" s="39">
        <f>IF(Q19="PR",J20,SUM(O20:O20))</f>
        <v>0</v>
      </c>
      <c r="Q19" s="27" t="s">
        <v>106</v>
      </c>
      <c r="R19" s="39">
        <f>IF(Q19="HS",H20,0)</f>
        <v>0</v>
      </c>
      <c r="S19" s="39">
        <f>IF(Q19="HS",I20-P19,0)</f>
        <v>0</v>
      </c>
      <c r="T19" s="39">
        <f>IF(Q19="PS",H20,0)</f>
        <v>0</v>
      </c>
      <c r="U19" s="39">
        <f>IF(Q19="PS",I20-P19,0)</f>
        <v>0</v>
      </c>
      <c r="V19" s="39">
        <f>IF(Q19="MP",H20,0)</f>
        <v>0</v>
      </c>
      <c r="W19" s="39">
        <f>IF(Q19="MP",I20-P19,0)</f>
        <v>0</v>
      </c>
      <c r="X19" s="39">
        <f>IF(Q19="OM",H20,0)</f>
        <v>0</v>
      </c>
      <c r="Y19" s="27" t="s">
        <v>36</v>
      </c>
      <c r="AI19" s="39">
        <f>SUM(Z20:Z20)</f>
        <v>0</v>
      </c>
      <c r="AJ19" s="39">
        <f>SUM(AA20:AA20)</f>
        <v>0</v>
      </c>
      <c r="AK19" s="39">
        <f>SUM(AB20:AB20)</f>
        <v>0</v>
      </c>
    </row>
    <row r="20" spans="1:43" ht="12.75">
      <c r="A20" s="4"/>
      <c r="B20" s="14" t="s">
        <v>36</v>
      </c>
      <c r="C20" s="14" t="s">
        <v>45</v>
      </c>
      <c r="D20" s="72" t="s">
        <v>69</v>
      </c>
      <c r="E20" s="73"/>
      <c r="F20" s="73"/>
      <c r="G20" s="73"/>
      <c r="H20" s="39">
        <f>SUM(H21:H21)</f>
        <v>0</v>
      </c>
      <c r="I20" s="39">
        <f>SUM(I21:I21)</f>
        <v>0</v>
      </c>
      <c r="J20" s="39">
        <f>H20+I20</f>
        <v>0</v>
      </c>
      <c r="K20" s="27"/>
      <c r="L20" s="39">
        <f>SUM(L21:L21)</f>
        <v>0</v>
      </c>
      <c r="M20" s="27"/>
      <c r="N20" s="31" t="s">
        <v>7</v>
      </c>
      <c r="O20" s="18">
        <f>IF(N20="5",I21,0)</f>
        <v>0</v>
      </c>
      <c r="Z20" s="18">
        <f>IF(AD20=0,J21,0)</f>
        <v>0</v>
      </c>
      <c r="AA20" s="18">
        <f>IF(AD20=15,J21,0)</f>
        <v>0</v>
      </c>
      <c r="AB20" s="18">
        <f>IF(AD20=21,J21,0)</f>
        <v>0</v>
      </c>
      <c r="AD20" s="36">
        <v>21</v>
      </c>
      <c r="AE20" s="36">
        <f>G21*0.448790174383842</f>
        <v>0</v>
      </c>
      <c r="AF20" s="36">
        <f>G21*(1-0.448790174383842)</f>
        <v>0</v>
      </c>
      <c r="AM20" s="36">
        <f>F21*AE20</f>
        <v>0</v>
      </c>
      <c r="AN20" s="36">
        <f>F21*AF20</f>
        <v>0</v>
      </c>
      <c r="AO20" s="37" t="s">
        <v>117</v>
      </c>
      <c r="AP20" s="37" t="s">
        <v>121</v>
      </c>
      <c r="AQ20" s="27" t="s">
        <v>123</v>
      </c>
    </row>
    <row r="21" spans="1:37" ht="12.75">
      <c r="A21" s="5" t="s">
        <v>12</v>
      </c>
      <c r="B21" s="5" t="s">
        <v>36</v>
      </c>
      <c r="C21" s="5" t="s">
        <v>46</v>
      </c>
      <c r="D21" s="5" t="s">
        <v>198</v>
      </c>
      <c r="E21" s="5" t="s">
        <v>85</v>
      </c>
      <c r="F21" s="18">
        <v>2.8</v>
      </c>
      <c r="G21" s="18"/>
      <c r="H21" s="18">
        <f>F21*AE20</f>
        <v>0</v>
      </c>
      <c r="I21" s="18">
        <f>J21-H21</f>
        <v>0</v>
      </c>
      <c r="J21" s="18">
        <f>F21*G21</f>
        <v>0</v>
      </c>
      <c r="K21" s="18">
        <v>0</v>
      </c>
      <c r="L21" s="18">
        <f>F21*K21</f>
        <v>0</v>
      </c>
      <c r="M21" s="31" t="s">
        <v>101</v>
      </c>
      <c r="P21" s="39">
        <f>IF(Q21="PR",J24,SUM(O22:O32))</f>
        <v>0</v>
      </c>
      <c r="Q21" s="27" t="s">
        <v>107</v>
      </c>
      <c r="R21" s="39">
        <f>IF(Q21="HS",H24,0)</f>
        <v>0</v>
      </c>
      <c r="S21" s="39">
        <f>IF(Q21="HS",I24-P21,0)</f>
        <v>0</v>
      </c>
      <c r="T21" s="39">
        <f>IF(Q21="PS",H24,0)</f>
        <v>0</v>
      </c>
      <c r="U21" s="39">
        <f>IF(Q21="PS",I24-P21,0)</f>
        <v>0</v>
      </c>
      <c r="V21" s="39">
        <f>IF(Q21="MP",H24,0)</f>
        <v>0</v>
      </c>
      <c r="W21" s="39">
        <f>IF(Q21="MP",I24-P21,0)</f>
        <v>0</v>
      </c>
      <c r="X21" s="39">
        <f>IF(Q21="OM",H24,0)</f>
        <v>0</v>
      </c>
      <c r="Y21" s="27" t="s">
        <v>36</v>
      </c>
      <c r="AI21" s="39">
        <f>SUM(Z22:Z32)</f>
        <v>0</v>
      </c>
      <c r="AJ21" s="39">
        <f>SUM(AA22:AA32)</f>
        <v>0</v>
      </c>
      <c r="AK21" s="39" t="e">
        <f>SUM(AB22:AB32)</f>
        <v>#REF!</v>
      </c>
    </row>
    <row r="22" spans="1:43" ht="12.75">
      <c r="A22" s="4"/>
      <c r="B22" s="14" t="s">
        <v>36</v>
      </c>
      <c r="C22" s="62" t="s">
        <v>181</v>
      </c>
      <c r="D22" s="91" t="s">
        <v>182</v>
      </c>
      <c r="E22" s="73"/>
      <c r="F22" s="73"/>
      <c r="G22" s="73"/>
      <c r="H22" s="39">
        <f>SUM(H23:H23)</f>
        <v>0</v>
      </c>
      <c r="I22" s="39">
        <f>SUM(I23:I23)</f>
        <v>0</v>
      </c>
      <c r="J22" s="39">
        <f>H22+I22</f>
        <v>0</v>
      </c>
      <c r="K22" s="27"/>
      <c r="L22" s="39">
        <f>SUM(L23:L23)</f>
        <v>0</v>
      </c>
      <c r="M22" s="27"/>
      <c r="N22" s="32" t="s">
        <v>102</v>
      </c>
      <c r="O22" s="19">
        <f>IF(N22="5",I25,0)</f>
        <v>0</v>
      </c>
      <c r="Z22" s="19">
        <f>IF(AD22=0,J25,0)</f>
        <v>0</v>
      </c>
      <c r="AA22" s="19">
        <f>IF(AD22=15,J25,0)</f>
        <v>0</v>
      </c>
      <c r="AB22" s="19">
        <f>IF(AD22=21,J25,0)</f>
        <v>0</v>
      </c>
      <c r="AD22" s="36">
        <v>21</v>
      </c>
      <c r="AE22" s="36">
        <f>G25*1</f>
        <v>0</v>
      </c>
      <c r="AF22" s="36">
        <f>G25*(1-1)</f>
        <v>0</v>
      </c>
      <c r="AM22" s="36">
        <f>F25*AE22</f>
        <v>0</v>
      </c>
      <c r="AN22" s="36">
        <f>F25*AF22</f>
        <v>0</v>
      </c>
      <c r="AO22" s="37" t="s">
        <v>118</v>
      </c>
      <c r="AP22" s="37" t="s">
        <v>122</v>
      </c>
      <c r="AQ22" s="27" t="s">
        <v>123</v>
      </c>
    </row>
    <row r="23" spans="1:43" ht="12.75">
      <c r="A23" s="5" t="s">
        <v>13</v>
      </c>
      <c r="B23" s="5" t="s">
        <v>36</v>
      </c>
      <c r="C23" s="64">
        <v>998011002</v>
      </c>
      <c r="D23" s="63" t="s">
        <v>182</v>
      </c>
      <c r="E23" s="65" t="s">
        <v>183</v>
      </c>
      <c r="F23" s="18">
        <f>L12</f>
        <v>4.705045</v>
      </c>
      <c r="G23" s="18"/>
      <c r="H23" s="18">
        <f>F23*G23</f>
        <v>0</v>
      </c>
      <c r="I23" s="18">
        <f>J23-H23</f>
        <v>0</v>
      </c>
      <c r="J23" s="18">
        <f>F23*G23</f>
        <v>0</v>
      </c>
      <c r="K23" s="18">
        <v>0</v>
      </c>
      <c r="L23" s="18">
        <f>F23*K23</f>
        <v>0</v>
      </c>
      <c r="M23" s="31" t="s">
        <v>101</v>
      </c>
      <c r="N23" s="32" t="s">
        <v>102</v>
      </c>
      <c r="O23" s="19">
        <f>IF(N23="5",I26,0)</f>
        <v>0</v>
      </c>
      <c r="Z23" s="19">
        <f>IF(AD23=0,J26,0)</f>
        <v>0</v>
      </c>
      <c r="AA23" s="19">
        <f>IF(AD23=15,J26,0)</f>
        <v>0</v>
      </c>
      <c r="AB23" s="19">
        <f>IF(AD23=21,J26,0)</f>
        <v>0</v>
      </c>
      <c r="AD23" s="36">
        <v>21</v>
      </c>
      <c r="AE23" s="36">
        <f>G26*1</f>
        <v>0</v>
      </c>
      <c r="AF23" s="36">
        <f>G26*(1-1)</f>
        <v>0</v>
      </c>
      <c r="AM23" s="36">
        <f>F26*AE23</f>
        <v>0</v>
      </c>
      <c r="AN23" s="36">
        <f>F26*AF23</f>
        <v>0</v>
      </c>
      <c r="AO23" s="37" t="s">
        <v>118</v>
      </c>
      <c r="AP23" s="37" t="s">
        <v>122</v>
      </c>
      <c r="AQ23" s="27" t="s">
        <v>123</v>
      </c>
    </row>
    <row r="24" spans="1:43" ht="12.75">
      <c r="A24" s="4"/>
      <c r="B24" s="14" t="s">
        <v>36</v>
      </c>
      <c r="C24" s="14"/>
      <c r="D24" s="72" t="s">
        <v>70</v>
      </c>
      <c r="E24" s="73"/>
      <c r="F24" s="73"/>
      <c r="G24" s="73"/>
      <c r="H24" s="39">
        <f>SUM(H25:H37)</f>
        <v>0</v>
      </c>
      <c r="I24" s="39">
        <f>SUM(I25:I37)</f>
        <v>0</v>
      </c>
      <c r="J24" s="39">
        <f>H24+I24</f>
        <v>0</v>
      </c>
      <c r="K24" s="27"/>
      <c r="L24" s="39">
        <f>SUM(L25:L37)</f>
        <v>4.04924</v>
      </c>
      <c r="M24" s="27"/>
      <c r="N24" s="32" t="s">
        <v>102</v>
      </c>
      <c r="O24" s="19">
        <f>IF(N24="5",I27,0)</f>
        <v>0</v>
      </c>
      <c r="Z24" s="19">
        <f>IF(AD24=0,J27,0)</f>
        <v>0</v>
      </c>
      <c r="AA24" s="19">
        <f>IF(AD24=15,J27,0)</f>
        <v>0</v>
      </c>
      <c r="AB24" s="19">
        <f>IF(AD24=21,J27,0)</f>
        <v>0</v>
      </c>
      <c r="AD24" s="36">
        <v>21</v>
      </c>
      <c r="AE24" s="36">
        <f>G27*1</f>
        <v>0</v>
      </c>
      <c r="AF24" s="36">
        <f>G27*(1-1)</f>
        <v>0</v>
      </c>
      <c r="AM24" s="36">
        <f>F27*AE24</f>
        <v>0</v>
      </c>
      <c r="AN24" s="36">
        <f>F27*AF24</f>
        <v>0</v>
      </c>
      <c r="AO24" s="37" t="s">
        <v>118</v>
      </c>
      <c r="AP24" s="37" t="s">
        <v>122</v>
      </c>
      <c r="AQ24" s="27" t="s">
        <v>123</v>
      </c>
    </row>
    <row r="25" spans="1:43" ht="12.75">
      <c r="A25" s="6" t="s">
        <v>14</v>
      </c>
      <c r="B25" s="6" t="s">
        <v>36</v>
      </c>
      <c r="C25" s="6" t="s">
        <v>47</v>
      </c>
      <c r="D25" s="6" t="s">
        <v>71</v>
      </c>
      <c r="E25" s="6" t="s">
        <v>84</v>
      </c>
      <c r="F25" s="19">
        <v>4</v>
      </c>
      <c r="G25" s="19"/>
      <c r="H25" s="19">
        <f>F25*AE22</f>
        <v>0</v>
      </c>
      <c r="I25" s="19">
        <f aca="true" t="shared" si="0" ref="I25:I37">J25-H25</f>
        <v>0</v>
      </c>
      <c r="J25" s="19">
        <f aca="true" t="shared" si="1" ref="J25:J37">F25*G25</f>
        <v>0</v>
      </c>
      <c r="K25" s="19">
        <v>0.00077</v>
      </c>
      <c r="L25" s="19">
        <f aca="true" t="shared" si="2" ref="L25:L37">F25*K25</f>
        <v>0.00308</v>
      </c>
      <c r="M25" s="32" t="s">
        <v>101</v>
      </c>
      <c r="N25" s="32" t="s">
        <v>102</v>
      </c>
      <c r="O25" s="19">
        <f>IF(N25="5",#REF!,0)</f>
        <v>0</v>
      </c>
      <c r="Z25" s="19">
        <f>IF(AD25=0,#REF!,0)</f>
        <v>0</v>
      </c>
      <c r="AA25" s="19">
        <f>IF(AD25=15,#REF!,0)</f>
        <v>0</v>
      </c>
      <c r="AB25" s="19" t="e">
        <f>IF(AD25=21,#REF!,0)</f>
        <v>#REF!</v>
      </c>
      <c r="AD25" s="36">
        <v>21</v>
      </c>
      <c r="AE25" s="36" t="e">
        <f>#REF!*1</f>
        <v>#REF!</v>
      </c>
      <c r="AF25" s="36" t="e">
        <f>#REF!*(1-1)</f>
        <v>#REF!</v>
      </c>
      <c r="AM25" s="36" t="e">
        <f>#REF!*AE25</f>
        <v>#REF!</v>
      </c>
      <c r="AN25" s="36" t="e">
        <f>#REF!*AF25</f>
        <v>#REF!</v>
      </c>
      <c r="AO25" s="37" t="s">
        <v>118</v>
      </c>
      <c r="AP25" s="37" t="s">
        <v>122</v>
      </c>
      <c r="AQ25" s="27" t="s">
        <v>123</v>
      </c>
    </row>
    <row r="26" spans="1:43" ht="12.75">
      <c r="A26" s="6" t="s">
        <v>15</v>
      </c>
      <c r="B26" s="6" t="s">
        <v>36</v>
      </c>
      <c r="C26" s="6" t="s">
        <v>48</v>
      </c>
      <c r="D26" s="6" t="s">
        <v>72</v>
      </c>
      <c r="E26" s="6" t="s">
        <v>84</v>
      </c>
      <c r="F26" s="19">
        <v>8</v>
      </c>
      <c r="G26" s="19"/>
      <c r="H26" s="19">
        <f>F26*AE23</f>
        <v>0</v>
      </c>
      <c r="I26" s="19">
        <f t="shared" si="0"/>
        <v>0</v>
      </c>
      <c r="J26" s="19">
        <f t="shared" si="1"/>
        <v>0</v>
      </c>
      <c r="K26" s="19">
        <v>0.00034</v>
      </c>
      <c r="L26" s="19">
        <f t="shared" si="2"/>
        <v>0.00272</v>
      </c>
      <c r="M26" s="32" t="s">
        <v>101</v>
      </c>
      <c r="N26" s="32" t="s">
        <v>102</v>
      </c>
      <c r="O26" s="19">
        <f>IF(N26="5",I28,0)</f>
        <v>0</v>
      </c>
      <c r="Z26" s="19">
        <f>IF(AD26=0,J28,0)</f>
        <v>0</v>
      </c>
      <c r="AA26" s="19">
        <f>IF(AD26=15,J28,0)</f>
        <v>0</v>
      </c>
      <c r="AB26" s="19">
        <f>IF(AD26=21,J28,0)</f>
        <v>0</v>
      </c>
      <c r="AD26" s="36">
        <v>21</v>
      </c>
      <c r="AE26" s="36">
        <f>G28*1</f>
        <v>0</v>
      </c>
      <c r="AF26" s="36">
        <f>G28*(1-1)</f>
        <v>0</v>
      </c>
      <c r="AM26" s="36">
        <f>F28*AE26</f>
        <v>0</v>
      </c>
      <c r="AN26" s="36">
        <f>F28*AF26</f>
        <v>0</v>
      </c>
      <c r="AO26" s="37" t="s">
        <v>118</v>
      </c>
      <c r="AP26" s="37" t="s">
        <v>122</v>
      </c>
      <c r="AQ26" s="27" t="s">
        <v>123</v>
      </c>
    </row>
    <row r="27" spans="1:43" ht="12.75">
      <c r="A27" s="6" t="s">
        <v>203</v>
      </c>
      <c r="B27" s="6" t="s">
        <v>36</v>
      </c>
      <c r="C27" s="6" t="s">
        <v>49</v>
      </c>
      <c r="D27" s="6" t="s">
        <v>73</v>
      </c>
      <c r="E27" s="6" t="s">
        <v>84</v>
      </c>
      <c r="F27" s="19">
        <v>8</v>
      </c>
      <c r="G27" s="19"/>
      <c r="H27" s="19">
        <f>F27*AE24</f>
        <v>0</v>
      </c>
      <c r="I27" s="19">
        <f t="shared" si="0"/>
        <v>0</v>
      </c>
      <c r="J27" s="19">
        <f t="shared" si="1"/>
        <v>0</v>
      </c>
      <c r="K27" s="19">
        <v>0</v>
      </c>
      <c r="L27" s="19">
        <f t="shared" si="2"/>
        <v>0</v>
      </c>
      <c r="M27" s="32" t="s">
        <v>101</v>
      </c>
      <c r="N27" s="32"/>
      <c r="O27" s="19"/>
      <c r="Z27" s="19"/>
      <c r="AA27" s="19"/>
      <c r="AB27" s="19"/>
      <c r="AD27" s="36"/>
      <c r="AE27" s="36"/>
      <c r="AF27" s="36"/>
      <c r="AM27" s="36"/>
      <c r="AN27" s="36"/>
      <c r="AO27" s="37"/>
      <c r="AP27" s="37"/>
      <c r="AQ27" s="27"/>
    </row>
    <row r="28" spans="1:43" ht="12.75">
      <c r="A28" s="6" t="s">
        <v>16</v>
      </c>
      <c r="B28" s="6" t="s">
        <v>36</v>
      </c>
      <c r="C28" s="6" t="s">
        <v>51</v>
      </c>
      <c r="D28" s="60" t="s">
        <v>175</v>
      </c>
      <c r="E28" s="6" t="s">
        <v>84</v>
      </c>
      <c r="F28" s="19">
        <v>4</v>
      </c>
      <c r="G28" s="19"/>
      <c r="H28" s="19">
        <f>F28*AE26</f>
        <v>0</v>
      </c>
      <c r="I28" s="19">
        <f t="shared" si="0"/>
        <v>0</v>
      </c>
      <c r="J28" s="19">
        <f t="shared" si="1"/>
        <v>0</v>
      </c>
      <c r="K28" s="19">
        <v>0.0028</v>
      </c>
      <c r="L28" s="19">
        <f t="shared" si="2"/>
        <v>0.0112</v>
      </c>
      <c r="M28" s="32" t="s">
        <v>101</v>
      </c>
      <c r="N28" s="32" t="s">
        <v>102</v>
      </c>
      <c r="O28" s="19">
        <f>IF(N28="5",I31,0)</f>
        <v>0</v>
      </c>
      <c r="Z28" s="19">
        <f>IF(AD28=0,J31,0)</f>
        <v>0</v>
      </c>
      <c r="AA28" s="19">
        <f>IF(AD28=15,J31,0)</f>
        <v>0</v>
      </c>
      <c r="AB28" s="19">
        <f>IF(AD28=21,J31,0)</f>
        <v>0</v>
      </c>
      <c r="AD28" s="36">
        <v>21</v>
      </c>
      <c r="AE28" s="36">
        <f>G31*1</f>
        <v>0</v>
      </c>
      <c r="AF28" s="36">
        <f>G31*(1-1)</f>
        <v>0</v>
      </c>
      <c r="AM28" s="36">
        <f>F31*AE28</f>
        <v>0</v>
      </c>
      <c r="AN28" s="36">
        <f>F31*AF28</f>
        <v>0</v>
      </c>
      <c r="AO28" s="37" t="s">
        <v>118</v>
      </c>
      <c r="AP28" s="37" t="s">
        <v>122</v>
      </c>
      <c r="AQ28" s="27" t="s">
        <v>123</v>
      </c>
    </row>
    <row r="29" spans="1:43" ht="12.75">
      <c r="A29" s="6" t="s">
        <v>17</v>
      </c>
      <c r="B29" s="6" t="s">
        <v>36</v>
      </c>
      <c r="C29" s="6" t="s">
        <v>52</v>
      </c>
      <c r="D29" s="60" t="s">
        <v>176</v>
      </c>
      <c r="E29" s="6" t="s">
        <v>84</v>
      </c>
      <c r="F29" s="19">
        <v>4</v>
      </c>
      <c r="G29" s="19"/>
      <c r="H29" s="19">
        <f>F29*G29</f>
        <v>0</v>
      </c>
      <c r="I29" s="19">
        <f t="shared" si="0"/>
        <v>0</v>
      </c>
      <c r="J29" s="19">
        <f t="shared" si="1"/>
        <v>0</v>
      </c>
      <c r="K29" s="19">
        <v>0.00023</v>
      </c>
      <c r="L29" s="19">
        <f t="shared" si="2"/>
        <v>0.00092</v>
      </c>
      <c r="M29" s="32" t="s">
        <v>101</v>
      </c>
      <c r="N29" s="32" t="s">
        <v>102</v>
      </c>
      <c r="O29" s="19">
        <f>IF(N29="5",I32,0)</f>
        <v>0</v>
      </c>
      <c r="Z29" s="19">
        <f>IF(AD29=0,J32,0)</f>
        <v>0</v>
      </c>
      <c r="AA29" s="19">
        <f>IF(AD29=15,J32,0)</f>
        <v>0</v>
      </c>
      <c r="AB29" s="19">
        <f>IF(AD29=21,J32,0)</f>
        <v>0</v>
      </c>
      <c r="AD29" s="36">
        <v>21</v>
      </c>
      <c r="AE29" s="36">
        <f>G32*1</f>
        <v>0</v>
      </c>
      <c r="AF29" s="36">
        <f>G32*(1-1)</f>
        <v>0</v>
      </c>
      <c r="AM29" s="36">
        <f>F32*AE29</f>
        <v>0</v>
      </c>
      <c r="AN29" s="36">
        <f>F32*AF29</f>
        <v>0</v>
      </c>
      <c r="AO29" s="37" t="s">
        <v>118</v>
      </c>
      <c r="AP29" s="37" t="s">
        <v>122</v>
      </c>
      <c r="AQ29" s="27" t="s">
        <v>123</v>
      </c>
    </row>
    <row r="30" spans="1:43" ht="12.75">
      <c r="A30" s="6" t="s">
        <v>18</v>
      </c>
      <c r="B30" s="6" t="s">
        <v>36</v>
      </c>
      <c r="C30" s="6"/>
      <c r="D30" s="60" t="s">
        <v>174</v>
      </c>
      <c r="E30" s="6" t="s">
        <v>84</v>
      </c>
      <c r="F30" s="19">
        <v>4</v>
      </c>
      <c r="G30" s="19"/>
      <c r="H30" s="19">
        <f>F30*G30</f>
        <v>0</v>
      </c>
      <c r="I30" s="19">
        <f>J30-H30</f>
        <v>0</v>
      </c>
      <c r="J30" s="19">
        <f>F30*G30</f>
        <v>0</v>
      </c>
      <c r="K30" s="19">
        <v>1.00023</v>
      </c>
      <c r="L30" s="19">
        <f>F30*K30</f>
        <v>4.00092</v>
      </c>
      <c r="M30" s="32" t="s">
        <v>173</v>
      </c>
      <c r="N30" s="32" t="s">
        <v>102</v>
      </c>
      <c r="O30" s="19">
        <f>IF(N30="5",I33,0)</f>
        <v>0</v>
      </c>
      <c r="Z30" s="19">
        <f>IF(AD30=0,J33,0)</f>
        <v>0</v>
      </c>
      <c r="AA30" s="19">
        <f>IF(AD30=15,J33,0)</f>
        <v>0</v>
      </c>
      <c r="AB30" s="19">
        <f>IF(AD30=21,J33,0)</f>
        <v>0</v>
      </c>
      <c r="AD30" s="36">
        <v>21</v>
      </c>
      <c r="AE30" s="36">
        <f>G33*1</f>
        <v>0</v>
      </c>
      <c r="AF30" s="36">
        <f>G33*(1-1)</f>
        <v>0</v>
      </c>
      <c r="AM30" s="36">
        <f>F33*AE30</f>
        <v>0</v>
      </c>
      <c r="AN30" s="36">
        <f>F33*AF30</f>
        <v>0</v>
      </c>
      <c r="AO30" s="37" t="s">
        <v>118</v>
      </c>
      <c r="AP30" s="37" t="s">
        <v>122</v>
      </c>
      <c r="AQ30" s="27" t="s">
        <v>123</v>
      </c>
    </row>
    <row r="31" spans="1:43" ht="12.75">
      <c r="A31" s="6" t="s">
        <v>19</v>
      </c>
      <c r="B31" s="6" t="s">
        <v>36</v>
      </c>
      <c r="C31" s="6" t="s">
        <v>53</v>
      </c>
      <c r="D31" s="60" t="s">
        <v>180</v>
      </c>
      <c r="E31" s="6" t="s">
        <v>84</v>
      </c>
      <c r="F31" s="19">
        <v>4</v>
      </c>
      <c r="G31" s="19"/>
      <c r="H31" s="19">
        <f aca="true" t="shared" si="3" ref="H31:H36">F31*AE28</f>
        <v>0</v>
      </c>
      <c r="I31" s="19">
        <f t="shared" si="0"/>
        <v>0</v>
      </c>
      <c r="J31" s="19">
        <f t="shared" si="1"/>
        <v>0</v>
      </c>
      <c r="K31" s="19">
        <v>7E-05</v>
      </c>
      <c r="L31" s="19">
        <f t="shared" si="2"/>
        <v>0.00028</v>
      </c>
      <c r="M31" s="32" t="s">
        <v>101</v>
      </c>
      <c r="N31" s="32" t="s">
        <v>102</v>
      </c>
      <c r="O31" s="19">
        <f>IF(N31="5",I34,0)</f>
        <v>0</v>
      </c>
      <c r="Z31" s="19">
        <f>IF(AD31=0,J34,0)</f>
        <v>0</v>
      </c>
      <c r="AA31" s="19">
        <f>IF(AD31=15,J34,0)</f>
        <v>0</v>
      </c>
      <c r="AB31" s="19">
        <f>IF(AD31=21,J34,0)</f>
        <v>0</v>
      </c>
      <c r="AD31" s="36">
        <v>21</v>
      </c>
      <c r="AE31" s="36">
        <f>G34*1</f>
        <v>0</v>
      </c>
      <c r="AF31" s="36">
        <f>G34*(1-1)</f>
        <v>0</v>
      </c>
      <c r="AM31" s="36">
        <f>F34*AE31</f>
        <v>0</v>
      </c>
      <c r="AN31" s="36">
        <f>F34*AF31</f>
        <v>0</v>
      </c>
      <c r="AO31" s="37" t="s">
        <v>118</v>
      </c>
      <c r="AP31" s="37" t="s">
        <v>122</v>
      </c>
      <c r="AQ31" s="27" t="s">
        <v>123</v>
      </c>
    </row>
    <row r="32" spans="1:43" ht="12.75">
      <c r="A32" s="6" t="s">
        <v>20</v>
      </c>
      <c r="B32" s="6" t="s">
        <v>36</v>
      </c>
      <c r="C32" s="6" t="s">
        <v>54</v>
      </c>
      <c r="D32" s="6" t="s">
        <v>74</v>
      </c>
      <c r="E32" s="6" t="s">
        <v>84</v>
      </c>
      <c r="F32" s="19">
        <v>4</v>
      </c>
      <c r="G32" s="19"/>
      <c r="H32" s="19">
        <f t="shared" si="3"/>
        <v>0</v>
      </c>
      <c r="I32" s="19">
        <f t="shared" si="0"/>
        <v>0</v>
      </c>
      <c r="J32" s="19">
        <f t="shared" si="1"/>
        <v>0</v>
      </c>
      <c r="K32" s="19">
        <v>0.00015</v>
      </c>
      <c r="L32" s="19">
        <f t="shared" si="2"/>
        <v>0.0006</v>
      </c>
      <c r="M32" s="32" t="s">
        <v>101</v>
      </c>
      <c r="N32" s="32" t="s">
        <v>102</v>
      </c>
      <c r="O32" s="19">
        <f>IF(N32="5",I37,0)</f>
        <v>0</v>
      </c>
      <c r="Z32" s="19">
        <f>IF(AD32=0,J37,0)</f>
        <v>0</v>
      </c>
      <c r="AA32" s="19">
        <f>IF(AD32=15,J37,0)</f>
        <v>0</v>
      </c>
      <c r="AB32" s="19">
        <f>IF(AD32=21,J37,0)</f>
        <v>0</v>
      </c>
      <c r="AD32" s="36">
        <v>21</v>
      </c>
      <c r="AE32" s="36">
        <f>G37*1</f>
        <v>0</v>
      </c>
      <c r="AF32" s="36">
        <f>G37*(1-1)</f>
        <v>0</v>
      </c>
      <c r="AM32" s="36">
        <f>F37*AE32</f>
        <v>0</v>
      </c>
      <c r="AN32" s="36">
        <f>F37*AF32</f>
        <v>0</v>
      </c>
      <c r="AO32" s="37" t="s">
        <v>118</v>
      </c>
      <c r="AP32" s="37" t="s">
        <v>122</v>
      </c>
      <c r="AQ32" s="27" t="s">
        <v>123</v>
      </c>
    </row>
    <row r="33" spans="1:13" ht="12.75">
      <c r="A33" s="6" t="s">
        <v>21</v>
      </c>
      <c r="B33" s="6" t="s">
        <v>36</v>
      </c>
      <c r="C33" s="6" t="s">
        <v>55</v>
      </c>
      <c r="D33" s="60" t="s">
        <v>175</v>
      </c>
      <c r="E33" s="6" t="s">
        <v>84</v>
      </c>
      <c r="F33" s="19">
        <v>4</v>
      </c>
      <c r="G33" s="19"/>
      <c r="H33" s="19">
        <f t="shared" si="3"/>
        <v>0</v>
      </c>
      <c r="I33" s="19">
        <f t="shared" si="0"/>
        <v>0</v>
      </c>
      <c r="J33" s="19">
        <f t="shared" si="1"/>
        <v>0</v>
      </c>
      <c r="K33" s="19">
        <v>0.00037</v>
      </c>
      <c r="L33" s="19">
        <f t="shared" si="2"/>
        <v>0.00148</v>
      </c>
      <c r="M33" s="32" t="s">
        <v>101</v>
      </c>
    </row>
    <row r="34" spans="1:37" ht="12.75">
      <c r="A34" s="6" t="s">
        <v>22</v>
      </c>
      <c r="B34" s="6" t="s">
        <v>36</v>
      </c>
      <c r="C34" s="6" t="s">
        <v>52</v>
      </c>
      <c r="D34" s="60" t="s">
        <v>176</v>
      </c>
      <c r="E34" s="6" t="s">
        <v>84</v>
      </c>
      <c r="F34" s="19">
        <v>4</v>
      </c>
      <c r="G34" s="19"/>
      <c r="H34" s="19">
        <f t="shared" si="3"/>
        <v>0</v>
      </c>
      <c r="I34" s="19">
        <f>J34-H34</f>
        <v>0</v>
      </c>
      <c r="J34" s="19">
        <f>F34*G34</f>
        <v>0</v>
      </c>
      <c r="K34" s="19">
        <v>0.00023</v>
      </c>
      <c r="L34" s="19">
        <f>F34*K34</f>
        <v>0.00092</v>
      </c>
      <c r="M34" s="32" t="s">
        <v>101</v>
      </c>
      <c r="P34" s="39">
        <f>IF(Q34="PR",J41,SUM(O35:O35))</f>
        <v>0</v>
      </c>
      <c r="Q34" s="27" t="s">
        <v>105</v>
      </c>
      <c r="R34" s="39">
        <f>IF(Q34="HS",H41,0)</f>
        <v>0</v>
      </c>
      <c r="S34" s="39">
        <f>IF(Q34="HS",I41-P34,0)</f>
        <v>0</v>
      </c>
      <c r="T34" s="39">
        <f>IF(Q34="PS",H41,0)</f>
        <v>0</v>
      </c>
      <c r="U34" s="39">
        <f>IF(Q34="PS",I41-P34,0)</f>
        <v>0</v>
      </c>
      <c r="V34" s="39">
        <f>IF(Q34="MP",H41,0)</f>
        <v>0</v>
      </c>
      <c r="W34" s="39">
        <f>IF(Q34="MP",I41-P34,0)</f>
        <v>0</v>
      </c>
      <c r="X34" s="39">
        <f>IF(Q34="OM",H41,0)</f>
        <v>0</v>
      </c>
      <c r="Y34" s="27" t="s">
        <v>37</v>
      </c>
      <c r="AI34" s="39">
        <f>SUM(Z35:Z35)</f>
        <v>0</v>
      </c>
      <c r="AJ34" s="39">
        <f>SUM(AA35:AA35)</f>
        <v>0</v>
      </c>
      <c r="AK34" s="39">
        <f>SUM(AB35:AB35)</f>
        <v>0</v>
      </c>
    </row>
    <row r="35" spans="1:43" ht="12.75">
      <c r="A35" s="6" t="s">
        <v>23</v>
      </c>
      <c r="B35" s="6" t="s">
        <v>36</v>
      </c>
      <c r="C35" s="6"/>
      <c r="D35" s="60" t="s">
        <v>177</v>
      </c>
      <c r="E35" s="6" t="s">
        <v>84</v>
      </c>
      <c r="F35" s="19">
        <v>4</v>
      </c>
      <c r="G35" s="19"/>
      <c r="H35" s="19">
        <f t="shared" si="3"/>
        <v>0</v>
      </c>
      <c r="I35" s="19">
        <f>J35-H35</f>
        <v>0</v>
      </c>
      <c r="J35" s="19">
        <f>F35*G35</f>
        <v>0</v>
      </c>
      <c r="K35" s="19">
        <v>0.00037</v>
      </c>
      <c r="L35" s="19">
        <f>F35*K35</f>
        <v>0.00148</v>
      </c>
      <c r="M35" s="32" t="s">
        <v>101</v>
      </c>
      <c r="N35" s="31" t="s">
        <v>7</v>
      </c>
      <c r="O35" s="18">
        <f>IF(N35="5",I43,0)</f>
        <v>0</v>
      </c>
      <c r="Z35" s="18">
        <f>IF(AD35=0,J43,0)</f>
        <v>0</v>
      </c>
      <c r="AA35" s="18">
        <f>IF(AD35=15,J43,0)</f>
        <v>0</v>
      </c>
      <c r="AB35" s="18">
        <f>IF(AD35=21,J43,0)</f>
        <v>0</v>
      </c>
      <c r="AD35" s="36">
        <v>21</v>
      </c>
      <c r="AE35" s="36">
        <f>G43*0.602157330154946</f>
        <v>0</v>
      </c>
      <c r="AF35" s="36">
        <f>G43*(1-0.602157330154946)</f>
        <v>0</v>
      </c>
      <c r="AM35" s="36">
        <f>F43*AE35</f>
        <v>0</v>
      </c>
      <c r="AN35" s="36">
        <f>F43*AF35</f>
        <v>0</v>
      </c>
      <c r="AO35" s="37" t="s">
        <v>115</v>
      </c>
      <c r="AP35" s="37" t="s">
        <v>119</v>
      </c>
      <c r="AQ35" s="27" t="s">
        <v>124</v>
      </c>
    </row>
    <row r="36" spans="1:37" ht="12.75">
      <c r="A36" s="6" t="s">
        <v>24</v>
      </c>
      <c r="B36" s="6" t="s">
        <v>36</v>
      </c>
      <c r="C36" s="6"/>
      <c r="D36" s="60" t="s">
        <v>178</v>
      </c>
      <c r="E36" s="6" t="s">
        <v>84</v>
      </c>
      <c r="F36" s="19">
        <v>4</v>
      </c>
      <c r="G36" s="19"/>
      <c r="H36" s="19">
        <f t="shared" si="3"/>
        <v>0</v>
      </c>
      <c r="I36" s="19">
        <f>J36-H36</f>
        <v>0</v>
      </c>
      <c r="J36" s="19">
        <f>F36*G36</f>
        <v>0</v>
      </c>
      <c r="K36" s="19">
        <v>0.00023</v>
      </c>
      <c r="L36" s="19">
        <f>F36*K36</f>
        <v>0.00092</v>
      </c>
      <c r="M36" s="32" t="s">
        <v>101</v>
      </c>
      <c r="P36" s="39">
        <f>IF(Q36="PR",J44,SUM(O37:O37))</f>
        <v>0</v>
      </c>
      <c r="Q36" s="27" t="s">
        <v>105</v>
      </c>
      <c r="R36" s="39">
        <f>IF(Q36="HS",H44,0)</f>
        <v>0</v>
      </c>
      <c r="S36" s="39">
        <f>IF(Q36="HS",I44-P36,0)</f>
        <v>0</v>
      </c>
      <c r="T36" s="39">
        <f>IF(Q36="PS",H44,0)</f>
        <v>0</v>
      </c>
      <c r="U36" s="39">
        <f>IF(Q36="PS",I44-P36,0)</f>
        <v>0</v>
      </c>
      <c r="V36" s="39">
        <f>IF(Q36="MP",H44,0)</f>
        <v>0</v>
      </c>
      <c r="W36" s="39">
        <f>IF(Q36="MP",I44-P36,0)</f>
        <v>0</v>
      </c>
      <c r="X36" s="39">
        <f>IF(Q36="OM",H44,0)</f>
        <v>0</v>
      </c>
      <c r="Y36" s="27" t="s">
        <v>37</v>
      </c>
      <c r="AI36" s="39">
        <f>SUM(Z37:Z37)</f>
        <v>0</v>
      </c>
      <c r="AJ36" s="39">
        <f>SUM(AA37:AA37)</f>
        <v>0</v>
      </c>
      <c r="AK36" s="39">
        <f>SUM(AB37:AB37)</f>
        <v>0</v>
      </c>
    </row>
    <row r="37" spans="1:43" ht="12.75">
      <c r="A37" s="6" t="s">
        <v>25</v>
      </c>
      <c r="B37" s="6" t="s">
        <v>36</v>
      </c>
      <c r="C37" s="6" t="s">
        <v>56</v>
      </c>
      <c r="D37" s="60" t="s">
        <v>200</v>
      </c>
      <c r="E37" s="6" t="s">
        <v>85</v>
      </c>
      <c r="F37" s="19">
        <v>103</v>
      </c>
      <c r="G37" s="19"/>
      <c r="H37" s="19">
        <f>F37*AE32</f>
        <v>0</v>
      </c>
      <c r="I37" s="19">
        <f t="shared" si="0"/>
        <v>0</v>
      </c>
      <c r="J37" s="19">
        <f t="shared" si="1"/>
        <v>0</v>
      </c>
      <c r="K37" s="19">
        <v>0.00024</v>
      </c>
      <c r="L37" s="19">
        <f t="shared" si="2"/>
        <v>0.02472</v>
      </c>
      <c r="M37" s="32" t="s">
        <v>101</v>
      </c>
      <c r="N37" s="31" t="s">
        <v>7</v>
      </c>
      <c r="O37" s="18">
        <f>IF(N37="5",I45,0)</f>
        <v>0</v>
      </c>
      <c r="Z37" s="18">
        <f>IF(AD37=0,J45,0)</f>
        <v>0</v>
      </c>
      <c r="AA37" s="18">
        <f>IF(AD37=15,J45,0)</f>
        <v>0</v>
      </c>
      <c r="AB37" s="18">
        <f>IF(AD37=21,J45,0)</f>
        <v>0</v>
      </c>
      <c r="AD37" s="36">
        <v>21</v>
      </c>
      <c r="AE37" s="36">
        <f>G45*0.936656680647094</f>
        <v>0</v>
      </c>
      <c r="AF37" s="36">
        <f>G45*(1-0.936656680647094)</f>
        <v>0</v>
      </c>
      <c r="AM37" s="36">
        <f>F45*AE37</f>
        <v>0</v>
      </c>
      <c r="AN37" s="36">
        <f>F45*AF37</f>
        <v>0</v>
      </c>
      <c r="AO37" s="37" t="s">
        <v>116</v>
      </c>
      <c r="AP37" s="37" t="s">
        <v>120</v>
      </c>
      <c r="AQ37" s="27" t="s">
        <v>124</v>
      </c>
    </row>
    <row r="38" spans="1:37" ht="12.75">
      <c r="A38" s="4"/>
      <c r="B38" s="14" t="s">
        <v>37</v>
      </c>
      <c r="C38" s="14"/>
      <c r="D38" s="72" t="s">
        <v>168</v>
      </c>
      <c r="E38" s="73"/>
      <c r="F38" s="73"/>
      <c r="G38" s="73"/>
      <c r="H38" s="39">
        <f>SUM(H39:H39)</f>
        <v>0</v>
      </c>
      <c r="I38" s="39">
        <f>SUM(I39:I39)</f>
        <v>0</v>
      </c>
      <c r="J38" s="39">
        <f>H38+I38</f>
        <v>0</v>
      </c>
      <c r="K38" s="27"/>
      <c r="L38" s="39">
        <f>SUM(L39:L39)</f>
        <v>0</v>
      </c>
      <c r="M38" s="27"/>
      <c r="P38" s="39">
        <f>IF(Q38="PR",J46,SUM(O39:O39))</f>
        <v>0</v>
      </c>
      <c r="Q38" s="27" t="s">
        <v>106</v>
      </c>
      <c r="R38" s="39">
        <f>IF(Q38="HS",H46,0)</f>
        <v>0</v>
      </c>
      <c r="S38" s="39">
        <f>IF(Q38="HS",I46-P38,0)</f>
        <v>0</v>
      </c>
      <c r="T38" s="39">
        <f>IF(Q38="PS",H46,0)</f>
        <v>0</v>
      </c>
      <c r="U38" s="39">
        <f>IF(Q38="PS",I46-P38,0)</f>
        <v>0</v>
      </c>
      <c r="V38" s="39">
        <f>IF(Q38="MP",H46,0)</f>
        <v>0</v>
      </c>
      <c r="W38" s="39">
        <f>IF(Q38="MP",I46-P38,0)</f>
        <v>0</v>
      </c>
      <c r="X38" s="39">
        <f>IF(Q38="OM",H46,0)</f>
        <v>0</v>
      </c>
      <c r="Y38" s="27" t="s">
        <v>37</v>
      </c>
      <c r="AI38" s="39">
        <f>SUM(Z39:Z39)</f>
        <v>0</v>
      </c>
      <c r="AJ38" s="39">
        <f>SUM(AA39:AA39)</f>
        <v>0</v>
      </c>
      <c r="AK38" s="39">
        <f>SUM(AB39:AB39)</f>
        <v>0</v>
      </c>
    </row>
    <row r="39" spans="1:43" ht="12.75">
      <c r="A39" s="65" t="s">
        <v>26</v>
      </c>
      <c r="B39" s="5" t="s">
        <v>37</v>
      </c>
      <c r="C39" s="5" t="s">
        <v>46</v>
      </c>
      <c r="D39" s="5" t="s">
        <v>169</v>
      </c>
      <c r="E39" s="5" t="s">
        <v>85</v>
      </c>
      <c r="F39" s="18">
        <v>103</v>
      </c>
      <c r="G39" s="18"/>
      <c r="H39" s="18">
        <f>F39*M38</f>
        <v>0</v>
      </c>
      <c r="I39" s="18">
        <f>J39-H39</f>
        <v>0</v>
      </c>
      <c r="J39" s="18">
        <f>F39*G39</f>
        <v>0</v>
      </c>
      <c r="K39" s="18">
        <v>0</v>
      </c>
      <c r="L39" s="18">
        <f>F39*K39</f>
        <v>0</v>
      </c>
      <c r="M39" s="31" t="s">
        <v>101</v>
      </c>
      <c r="N39" s="31" t="s">
        <v>7</v>
      </c>
      <c r="O39" s="18">
        <f>IF(N39="5",I47,0)</f>
        <v>0</v>
      </c>
      <c r="Z39" s="18">
        <f>IF(AD39=0,J47,0)</f>
        <v>0</v>
      </c>
      <c r="AA39" s="18">
        <f>IF(AD39=15,J47,0)</f>
        <v>0</v>
      </c>
      <c r="AB39" s="18">
        <f>IF(AD39=21,J47,0)</f>
        <v>0</v>
      </c>
      <c r="AD39" s="36">
        <v>21</v>
      </c>
      <c r="AE39" s="36">
        <f>G47*0.448790174383842</f>
        <v>0</v>
      </c>
      <c r="AF39" s="36">
        <f>G47*(1-0.448790174383842)</f>
        <v>0</v>
      </c>
      <c r="AM39" s="36">
        <f>F47*AE39</f>
        <v>0</v>
      </c>
      <c r="AN39" s="36">
        <f>F47*AF39</f>
        <v>0</v>
      </c>
      <c r="AO39" s="37" t="s">
        <v>117</v>
      </c>
      <c r="AP39" s="37" t="s">
        <v>121</v>
      </c>
      <c r="AQ39" s="27" t="s">
        <v>124</v>
      </c>
    </row>
    <row r="40" spans="1:37" ht="12.75">
      <c r="A40" s="7"/>
      <c r="B40" s="15" t="s">
        <v>37</v>
      </c>
      <c r="C40" s="15"/>
      <c r="D40" s="74" t="s">
        <v>75</v>
      </c>
      <c r="E40" s="75"/>
      <c r="F40" s="75"/>
      <c r="G40" s="75"/>
      <c r="H40" s="40">
        <f>H41+H44+H46+H50</f>
        <v>0</v>
      </c>
      <c r="I40" s="40">
        <f>I41+I44+I46+I50</f>
        <v>0</v>
      </c>
      <c r="J40" s="40">
        <f>H40+I40</f>
        <v>0</v>
      </c>
      <c r="K40" s="28"/>
      <c r="L40" s="40">
        <f>L41+L44+L46+L50</f>
        <v>7.100615999999999</v>
      </c>
      <c r="M40" s="28"/>
      <c r="P40" s="39">
        <f>IF(Q40="PR",J50,SUM(O41:O49))</f>
        <v>0</v>
      </c>
      <c r="Q40" s="27" t="s">
        <v>107</v>
      </c>
      <c r="R40" s="39">
        <f>IF(Q40="HS",H50,0)</f>
        <v>0</v>
      </c>
      <c r="S40" s="39">
        <f>IF(Q40="HS",I50-P40,0)</f>
        <v>0</v>
      </c>
      <c r="T40" s="39">
        <f>IF(Q40="PS",H50,0)</f>
        <v>0</v>
      </c>
      <c r="U40" s="39">
        <f>IF(Q40="PS",I50-P40,0)</f>
        <v>0</v>
      </c>
      <c r="V40" s="39">
        <f>IF(Q40="MP",H50,0)</f>
        <v>0</v>
      </c>
      <c r="W40" s="39">
        <f>IF(Q40="MP",I50-P40,0)</f>
        <v>0</v>
      </c>
      <c r="X40" s="39">
        <f>IF(Q40="OM",H50,0)</f>
        <v>0</v>
      </c>
      <c r="Y40" s="27" t="s">
        <v>37</v>
      </c>
      <c r="AI40" s="39">
        <f>SUM(Z41:Z49)</f>
        <v>0</v>
      </c>
      <c r="AJ40" s="39">
        <f>SUM(AA41:AA49)</f>
        <v>0</v>
      </c>
      <c r="AK40" s="39">
        <f>SUM(AB41:AB49)</f>
        <v>0</v>
      </c>
    </row>
    <row r="41" spans="1:43" ht="12.75">
      <c r="A41" s="4"/>
      <c r="B41" s="14" t="s">
        <v>37</v>
      </c>
      <c r="C41" s="14" t="s">
        <v>39</v>
      </c>
      <c r="D41" s="72" t="s">
        <v>64</v>
      </c>
      <c r="E41" s="73"/>
      <c r="F41" s="73"/>
      <c r="G41" s="73"/>
      <c r="H41" s="39">
        <f>SUM(H43:H43)</f>
        <v>0</v>
      </c>
      <c r="I41" s="39">
        <f>SUM(I43:I43)</f>
        <v>0</v>
      </c>
      <c r="J41" s="39">
        <f>H41+I41</f>
        <v>0</v>
      </c>
      <c r="K41" s="27"/>
      <c r="L41" s="39">
        <f>SUM(L43:L43)</f>
        <v>2.997896</v>
      </c>
      <c r="M41" s="27"/>
      <c r="N41" s="32" t="s">
        <v>102</v>
      </c>
      <c r="O41" s="19">
        <f>IF(N41="5",I52,0)</f>
        <v>0</v>
      </c>
      <c r="Z41" s="19">
        <f>IF(AD41=0,J52,0)</f>
        <v>0</v>
      </c>
      <c r="AA41" s="19">
        <f>IF(AD41=15,J52,0)</f>
        <v>0</v>
      </c>
      <c r="AB41" s="19">
        <f>IF(AD41=21,J52,0)</f>
        <v>0</v>
      </c>
      <c r="AD41" s="36">
        <v>21</v>
      </c>
      <c r="AE41" s="36">
        <f>G52*1</f>
        <v>0</v>
      </c>
      <c r="AF41" s="36">
        <f>G52*(1-1)</f>
        <v>0</v>
      </c>
      <c r="AM41" s="36">
        <f>F52*AE41</f>
        <v>0</v>
      </c>
      <c r="AN41" s="36">
        <f>F52*AF41</f>
        <v>0</v>
      </c>
      <c r="AO41" s="37" t="s">
        <v>118</v>
      </c>
      <c r="AP41" s="37" t="s">
        <v>122</v>
      </c>
      <c r="AQ41" s="27" t="s">
        <v>124</v>
      </c>
    </row>
    <row r="42" spans="1:43" ht="12.75">
      <c r="A42" s="5" t="s">
        <v>27</v>
      </c>
      <c r="B42" s="5" t="s">
        <v>36</v>
      </c>
      <c r="C42" s="5" t="s">
        <v>40</v>
      </c>
      <c r="D42" s="5" t="s">
        <v>65</v>
      </c>
      <c r="E42" s="5" t="s">
        <v>84</v>
      </c>
      <c r="F42" s="18">
        <v>4</v>
      </c>
      <c r="G42" s="18"/>
      <c r="H42" s="18">
        <f>F42*G42</f>
        <v>0</v>
      </c>
      <c r="I42" s="18">
        <f>J42-H42</f>
        <v>0</v>
      </c>
      <c r="J42" s="18">
        <f>F42*G42</f>
        <v>0</v>
      </c>
      <c r="K42" s="18">
        <v>0.00551</v>
      </c>
      <c r="L42" s="18">
        <f>F42*K42</f>
        <v>0.02204</v>
      </c>
      <c r="M42" s="31" t="s">
        <v>101</v>
      </c>
      <c r="N42" s="32" t="s">
        <v>102</v>
      </c>
      <c r="O42" s="19">
        <f>IF(N42="5",I53,0)</f>
        <v>0</v>
      </c>
      <c r="Z42" s="19">
        <f>IF(AD42=0,J53,0)</f>
        <v>0</v>
      </c>
      <c r="AA42" s="19">
        <f>IF(AD42=15,J53,0)</f>
        <v>0</v>
      </c>
      <c r="AB42" s="19">
        <f>IF(AD42=21,J53,0)</f>
        <v>0</v>
      </c>
      <c r="AD42" s="36">
        <v>21</v>
      </c>
      <c r="AE42" s="36">
        <f>G53*1</f>
        <v>0</v>
      </c>
      <c r="AF42" s="36">
        <f>G53*(1-1)</f>
        <v>0</v>
      </c>
      <c r="AM42" s="36">
        <f>F53*AE42</f>
        <v>0</v>
      </c>
      <c r="AN42" s="36">
        <f>F53*AF42</f>
        <v>0</v>
      </c>
      <c r="AO42" s="37" t="s">
        <v>118</v>
      </c>
      <c r="AP42" s="37" t="s">
        <v>122</v>
      </c>
      <c r="AQ42" s="27" t="s">
        <v>124</v>
      </c>
    </row>
    <row r="43" spans="1:43" ht="12.75">
      <c r="A43" s="5" t="s">
        <v>28</v>
      </c>
      <c r="B43" s="5" t="s">
        <v>37</v>
      </c>
      <c r="C43" s="5" t="s">
        <v>57</v>
      </c>
      <c r="D43" s="5" t="s">
        <v>76</v>
      </c>
      <c r="E43" s="5" t="s">
        <v>85</v>
      </c>
      <c r="F43" s="18">
        <v>167.2</v>
      </c>
      <c r="G43" s="18"/>
      <c r="H43" s="18">
        <f>F43*AE35</f>
        <v>0</v>
      </c>
      <c r="I43" s="18">
        <f>J43-H43</f>
        <v>0</v>
      </c>
      <c r="J43" s="18">
        <f>F43*G43</f>
        <v>0</v>
      </c>
      <c r="K43" s="18">
        <v>0.01793</v>
      </c>
      <c r="L43" s="18">
        <f>F43*K43</f>
        <v>2.997896</v>
      </c>
      <c r="M43" s="31" t="s">
        <v>101</v>
      </c>
      <c r="N43" s="32" t="s">
        <v>102</v>
      </c>
      <c r="O43" s="19">
        <f>IF(N43="5",I54,0)</f>
        <v>0</v>
      </c>
      <c r="Z43" s="19">
        <f>IF(AD43=0,J54,0)</f>
        <v>0</v>
      </c>
      <c r="AA43" s="19">
        <f>IF(AD43=15,J54,0)</f>
        <v>0</v>
      </c>
      <c r="AB43" s="19">
        <f>IF(AD43=21,J54,0)</f>
        <v>0</v>
      </c>
      <c r="AD43" s="36">
        <v>21</v>
      </c>
      <c r="AE43" s="36">
        <f>G54*1</f>
        <v>0</v>
      </c>
      <c r="AF43" s="36">
        <f>G54*(1-1)</f>
        <v>0</v>
      </c>
      <c r="AM43" s="36">
        <f>F54*AE43</f>
        <v>0</v>
      </c>
      <c r="AN43" s="36">
        <f>F54*AF43</f>
        <v>0</v>
      </c>
      <c r="AO43" s="37" t="s">
        <v>118</v>
      </c>
      <c r="AP43" s="37" t="s">
        <v>122</v>
      </c>
      <c r="AQ43" s="27" t="s">
        <v>124</v>
      </c>
    </row>
    <row r="44" spans="1:43" ht="12.75">
      <c r="A44" s="4"/>
      <c r="B44" s="14" t="s">
        <v>37</v>
      </c>
      <c r="C44" s="14" t="s">
        <v>42</v>
      </c>
      <c r="D44" s="72" t="s">
        <v>66</v>
      </c>
      <c r="E44" s="73"/>
      <c r="F44" s="73"/>
      <c r="G44" s="73"/>
      <c r="H44" s="39">
        <f>SUM(H45:H45)</f>
        <v>0</v>
      </c>
      <c r="I44" s="39">
        <f>SUM(I45:I45)</f>
        <v>0</v>
      </c>
      <c r="J44" s="39">
        <f>H44+I44</f>
        <v>0</v>
      </c>
      <c r="K44" s="27"/>
      <c r="L44" s="39">
        <f>SUM(L45:L45)</f>
        <v>0.04712</v>
      </c>
      <c r="M44" s="27"/>
      <c r="N44" s="32" t="s">
        <v>102</v>
      </c>
      <c r="O44" s="19">
        <f>IF(N44="5",I55,0)</f>
        <v>0</v>
      </c>
      <c r="Z44" s="19">
        <f>IF(AD44=0,J55,0)</f>
        <v>0</v>
      </c>
      <c r="AA44" s="19">
        <f>IF(AD44=15,J55,0)</f>
        <v>0</v>
      </c>
      <c r="AB44" s="19">
        <f>IF(AD44=21,J55,0)</f>
        <v>0</v>
      </c>
      <c r="AD44" s="36">
        <v>21</v>
      </c>
      <c r="AE44" s="36">
        <f>G55*1</f>
        <v>0</v>
      </c>
      <c r="AF44" s="36">
        <f>G55*(1-1)</f>
        <v>0</v>
      </c>
      <c r="AM44" s="36">
        <f>F55*AE44</f>
        <v>0</v>
      </c>
      <c r="AN44" s="36">
        <f>F55*AF44</f>
        <v>0</v>
      </c>
      <c r="AO44" s="37" t="s">
        <v>118</v>
      </c>
      <c r="AP44" s="37" t="s">
        <v>122</v>
      </c>
      <c r="AQ44" s="27" t="s">
        <v>124</v>
      </c>
    </row>
    <row r="45" spans="1:43" ht="12.75">
      <c r="A45" s="5" t="s">
        <v>29</v>
      </c>
      <c r="B45" s="5" t="s">
        <v>37</v>
      </c>
      <c r="C45" s="5" t="s">
        <v>44</v>
      </c>
      <c r="D45" s="5" t="s">
        <v>68</v>
      </c>
      <c r="E45" s="5" t="s">
        <v>84</v>
      </c>
      <c r="F45" s="18">
        <v>4</v>
      </c>
      <c r="G45" s="18"/>
      <c r="H45" s="18">
        <f>F45*AE37</f>
        <v>0</v>
      </c>
      <c r="I45" s="18">
        <f>J45-H45</f>
        <v>0</v>
      </c>
      <c r="J45" s="18">
        <f>F45*G45</f>
        <v>0</v>
      </c>
      <c r="K45" s="18">
        <v>0.01178</v>
      </c>
      <c r="L45" s="18">
        <f>F45*K45</f>
        <v>0.04712</v>
      </c>
      <c r="M45" s="31" t="s">
        <v>101</v>
      </c>
      <c r="N45" s="32" t="s">
        <v>102</v>
      </c>
      <c r="O45" s="19">
        <f>IF(N45="5",I56,0)</f>
        <v>0</v>
      </c>
      <c r="Z45" s="19">
        <f>IF(AD45=0,J56,0)</f>
        <v>0</v>
      </c>
      <c r="AA45" s="19">
        <f>IF(AD45=15,J56,0)</f>
        <v>0</v>
      </c>
      <c r="AB45" s="19">
        <f>IF(AD45=21,J56,0)</f>
        <v>0</v>
      </c>
      <c r="AD45" s="36">
        <v>21</v>
      </c>
      <c r="AE45" s="36">
        <f>G56*1</f>
        <v>0</v>
      </c>
      <c r="AF45" s="36">
        <f>G56*(1-1)</f>
        <v>0</v>
      </c>
      <c r="AM45" s="36">
        <f>F56*AE45</f>
        <v>0</v>
      </c>
      <c r="AN45" s="36">
        <f>F56*AF45</f>
        <v>0</v>
      </c>
      <c r="AO45" s="37" t="s">
        <v>118</v>
      </c>
      <c r="AP45" s="37" t="s">
        <v>122</v>
      </c>
      <c r="AQ45" s="27" t="s">
        <v>124</v>
      </c>
    </row>
    <row r="46" spans="1:43" ht="12.75">
      <c r="A46" s="4"/>
      <c r="B46" s="14" t="s">
        <v>37</v>
      </c>
      <c r="C46" s="14" t="s">
        <v>45</v>
      </c>
      <c r="D46" s="72" t="s">
        <v>69</v>
      </c>
      <c r="E46" s="73"/>
      <c r="F46" s="73"/>
      <c r="G46" s="73"/>
      <c r="H46" s="39">
        <f>SUM(H47:H47)</f>
        <v>0</v>
      </c>
      <c r="I46" s="39">
        <f>SUM(I47:I47)</f>
        <v>0</v>
      </c>
      <c r="J46" s="39">
        <f>H46+I46</f>
        <v>0</v>
      </c>
      <c r="K46" s="27"/>
      <c r="L46" s="39">
        <f>SUM(L47:L47)</f>
        <v>0</v>
      </c>
      <c r="M46" s="27"/>
      <c r="N46" s="32" t="s">
        <v>102</v>
      </c>
      <c r="O46" s="19">
        <f>IF(N46="5",I58,0)</f>
        <v>0</v>
      </c>
      <c r="Z46" s="19">
        <f>IF(AD46=0,J58,0)</f>
        <v>0</v>
      </c>
      <c r="AA46" s="19">
        <f>IF(AD46=15,J58,0)</f>
        <v>0</v>
      </c>
      <c r="AB46" s="19">
        <f>IF(AD46=21,J58,0)</f>
        <v>0</v>
      </c>
      <c r="AD46" s="36">
        <v>21</v>
      </c>
      <c r="AE46" s="36">
        <f>G58*1</f>
        <v>0</v>
      </c>
      <c r="AF46" s="36">
        <f>G58*(1-1)</f>
        <v>0</v>
      </c>
      <c r="AM46" s="36">
        <f>F58*AE46</f>
        <v>0</v>
      </c>
      <c r="AN46" s="36">
        <f>F58*AF46</f>
        <v>0</v>
      </c>
      <c r="AO46" s="37" t="s">
        <v>118</v>
      </c>
      <c r="AP46" s="37" t="s">
        <v>122</v>
      </c>
      <c r="AQ46" s="27" t="s">
        <v>124</v>
      </c>
    </row>
    <row r="47" spans="1:43" ht="12.75">
      <c r="A47" s="5" t="s">
        <v>30</v>
      </c>
      <c r="B47" s="5" t="s">
        <v>37</v>
      </c>
      <c r="C47" s="5" t="s">
        <v>46</v>
      </c>
      <c r="D47" s="5" t="s">
        <v>198</v>
      </c>
      <c r="E47" s="5" t="s">
        <v>85</v>
      </c>
      <c r="F47" s="18">
        <v>2.8</v>
      </c>
      <c r="G47" s="18"/>
      <c r="H47" s="18">
        <f>F47*AE39</f>
        <v>0</v>
      </c>
      <c r="I47" s="18">
        <f>J47-H47</f>
        <v>0</v>
      </c>
      <c r="J47" s="18">
        <f>F47*G47</f>
        <v>0</v>
      </c>
      <c r="K47" s="18">
        <v>0</v>
      </c>
      <c r="L47" s="18">
        <f>F47*K47</f>
        <v>0</v>
      </c>
      <c r="M47" s="31" t="s">
        <v>101</v>
      </c>
      <c r="N47" s="32" t="s">
        <v>102</v>
      </c>
      <c r="O47" s="19">
        <f>IF(N47="5",I59,0)</f>
        <v>0</v>
      </c>
      <c r="Z47" s="19">
        <f>IF(AD47=0,J59,0)</f>
        <v>0</v>
      </c>
      <c r="AA47" s="19">
        <f>IF(AD47=15,J59,0)</f>
        <v>0</v>
      </c>
      <c r="AB47" s="19">
        <f>IF(AD47=21,J59,0)</f>
        <v>0</v>
      </c>
      <c r="AD47" s="36">
        <v>21</v>
      </c>
      <c r="AE47" s="36">
        <f>G59*1</f>
        <v>0</v>
      </c>
      <c r="AF47" s="36">
        <f>G59*(1-1)</f>
        <v>0</v>
      </c>
      <c r="AM47" s="36">
        <f>F59*AE47</f>
        <v>0</v>
      </c>
      <c r="AN47" s="36">
        <f>F59*AF47</f>
        <v>0</v>
      </c>
      <c r="AO47" s="37" t="s">
        <v>118</v>
      </c>
      <c r="AP47" s="37" t="s">
        <v>122</v>
      </c>
      <c r="AQ47" s="27" t="s">
        <v>124</v>
      </c>
    </row>
    <row r="48" spans="1:43" ht="12.75">
      <c r="A48" s="4"/>
      <c r="B48" s="14" t="s">
        <v>36</v>
      </c>
      <c r="C48" s="62" t="s">
        <v>181</v>
      </c>
      <c r="D48" s="91" t="s">
        <v>182</v>
      </c>
      <c r="E48" s="73"/>
      <c r="F48" s="73"/>
      <c r="G48" s="73"/>
      <c r="H48" s="39">
        <f>SUM(H49:H49)</f>
        <v>0</v>
      </c>
      <c r="I48" s="39">
        <f>SUM(I49:I49)</f>
        <v>0</v>
      </c>
      <c r="J48" s="39">
        <f>H48+I48</f>
        <v>0</v>
      </c>
      <c r="K48" s="27"/>
      <c r="L48" s="39">
        <f>SUM(L49:L49)</f>
        <v>0</v>
      </c>
      <c r="M48" s="27"/>
      <c r="N48" s="32" t="s">
        <v>102</v>
      </c>
      <c r="O48" s="19">
        <f>IF(N48="5",I61,0)</f>
        <v>0</v>
      </c>
      <c r="Z48" s="19">
        <f>IF(AD48=0,J61,0)</f>
        <v>0</v>
      </c>
      <c r="AA48" s="19">
        <f>IF(AD48=15,J61,0)</f>
        <v>0</v>
      </c>
      <c r="AB48" s="19">
        <f>IF(AD48=21,J61,0)</f>
        <v>0</v>
      </c>
      <c r="AD48" s="36">
        <v>21</v>
      </c>
      <c r="AE48" s="36">
        <f>G61*1</f>
        <v>0</v>
      </c>
      <c r="AF48" s="36">
        <f>G61*(1-1)</f>
        <v>0</v>
      </c>
      <c r="AM48" s="36">
        <f>F61*AE48</f>
        <v>0</v>
      </c>
      <c r="AN48" s="36">
        <f>F61*AF48</f>
        <v>0</v>
      </c>
      <c r="AO48" s="37" t="s">
        <v>118</v>
      </c>
      <c r="AP48" s="37" t="s">
        <v>122</v>
      </c>
      <c r="AQ48" s="27" t="s">
        <v>124</v>
      </c>
    </row>
    <row r="49" spans="1:43" ht="12.75">
      <c r="A49" s="5" t="s">
        <v>31</v>
      </c>
      <c r="B49" s="5" t="s">
        <v>36</v>
      </c>
      <c r="C49" s="64">
        <v>998011002</v>
      </c>
      <c r="D49" s="63" t="s">
        <v>182</v>
      </c>
      <c r="E49" s="65" t="s">
        <v>183</v>
      </c>
      <c r="F49" s="18">
        <f>L40</f>
        <v>7.100615999999999</v>
      </c>
      <c r="G49" s="18"/>
      <c r="H49" s="18">
        <f>F49*G49</f>
        <v>0</v>
      </c>
      <c r="I49" s="18">
        <f>J49-H49</f>
        <v>0</v>
      </c>
      <c r="J49" s="18">
        <f>F49*G49</f>
        <v>0</v>
      </c>
      <c r="K49" s="18">
        <v>0</v>
      </c>
      <c r="L49" s="18">
        <f>F49*K49</f>
        <v>0</v>
      </c>
      <c r="M49" s="31" t="s">
        <v>101</v>
      </c>
      <c r="N49" s="32" t="s">
        <v>102</v>
      </c>
      <c r="O49" s="19">
        <f>IF(N49="5",I62,0)</f>
        <v>0</v>
      </c>
      <c r="Z49" s="19">
        <f>IF(AD49=0,J62,0)</f>
        <v>0</v>
      </c>
      <c r="AA49" s="19">
        <f>IF(AD49=15,J62,0)</f>
        <v>0</v>
      </c>
      <c r="AB49" s="19">
        <f>IF(AD49=21,J62,0)</f>
        <v>0</v>
      </c>
      <c r="AD49" s="36">
        <v>21</v>
      </c>
      <c r="AE49" s="36">
        <f>G62*1</f>
        <v>0</v>
      </c>
      <c r="AF49" s="36">
        <f>G62*(1-1)</f>
        <v>0</v>
      </c>
      <c r="AM49" s="36">
        <f>F62*AE49</f>
        <v>0</v>
      </c>
      <c r="AN49" s="36">
        <f>F62*AF49</f>
        <v>0</v>
      </c>
      <c r="AO49" s="37" t="s">
        <v>118</v>
      </c>
      <c r="AP49" s="37" t="s">
        <v>122</v>
      </c>
      <c r="AQ49" s="27" t="s">
        <v>124</v>
      </c>
    </row>
    <row r="50" spans="1:28" ht="12.75">
      <c r="A50" s="4"/>
      <c r="B50" s="14" t="s">
        <v>37</v>
      </c>
      <c r="C50" s="14"/>
      <c r="D50" s="72" t="s">
        <v>70</v>
      </c>
      <c r="E50" s="73"/>
      <c r="F50" s="73"/>
      <c r="G50" s="73"/>
      <c r="H50" s="39">
        <f>SUM(H51:H62)</f>
        <v>0</v>
      </c>
      <c r="I50" s="39">
        <f>SUM(I51:I62)</f>
        <v>0</v>
      </c>
      <c r="J50" s="39">
        <f>H50+I50</f>
        <v>0</v>
      </c>
      <c r="K50" s="27"/>
      <c r="L50" s="39">
        <f>SUM(L52:L62)</f>
        <v>4.055599999999999</v>
      </c>
      <c r="M50" s="27"/>
      <c r="Z50" s="42">
        <f>SUM(Z13:Z49)</f>
        <v>0</v>
      </c>
      <c r="AA50" s="42">
        <f>SUM(AA13:AA49)</f>
        <v>0</v>
      </c>
      <c r="AB50" s="42" t="e">
        <f>SUM(AB13:AB49)</f>
        <v>#REF!</v>
      </c>
    </row>
    <row r="51" spans="1:13" ht="11.25" customHeight="1">
      <c r="A51" s="6" t="s">
        <v>32</v>
      </c>
      <c r="B51" s="6" t="s">
        <v>36</v>
      </c>
      <c r="C51" s="6" t="s">
        <v>47</v>
      </c>
      <c r="D51" s="6" t="s">
        <v>71</v>
      </c>
      <c r="E51" s="6" t="s">
        <v>84</v>
      </c>
      <c r="F51" s="19">
        <v>4</v>
      </c>
      <c r="G51" s="19"/>
      <c r="H51" s="19">
        <f>F51*G51</f>
        <v>0</v>
      </c>
      <c r="I51" s="19">
        <f>J51-H51</f>
        <v>0</v>
      </c>
      <c r="J51" s="19">
        <f>F51*G51</f>
        <v>0</v>
      </c>
      <c r="K51" s="19">
        <v>0.00077</v>
      </c>
      <c r="L51" s="19">
        <f>F51*K51</f>
        <v>0.00308</v>
      </c>
      <c r="M51" s="32" t="s">
        <v>101</v>
      </c>
    </row>
    <row r="52" spans="1:13" ht="409.5" customHeight="1" hidden="1">
      <c r="A52" s="60" t="s">
        <v>32</v>
      </c>
      <c r="B52" s="6" t="s">
        <v>37</v>
      </c>
      <c r="C52" s="6" t="s">
        <v>52</v>
      </c>
      <c r="D52" s="60" t="s">
        <v>179</v>
      </c>
      <c r="E52" s="6" t="s">
        <v>84</v>
      </c>
      <c r="F52" s="19">
        <v>4</v>
      </c>
      <c r="G52" s="19"/>
      <c r="H52" s="19">
        <f>F52*AE41</f>
        <v>0</v>
      </c>
      <c r="I52" s="19">
        <f aca="true" t="shared" si="4" ref="I52:I62">J52-H52</f>
        <v>0</v>
      </c>
      <c r="J52" s="19">
        <f aca="true" t="shared" si="5" ref="J52:J62">F52*G52</f>
        <v>0</v>
      </c>
      <c r="K52" s="19">
        <v>0.00023</v>
      </c>
      <c r="L52" s="19">
        <f aca="true" t="shared" si="6" ref="L52:L62">F52*K52</f>
        <v>0.00092</v>
      </c>
      <c r="M52" s="32" t="s">
        <v>101</v>
      </c>
    </row>
    <row r="53" spans="1:13" ht="12.75">
      <c r="A53" s="6" t="s">
        <v>33</v>
      </c>
      <c r="B53" s="6" t="s">
        <v>37</v>
      </c>
      <c r="C53" s="6" t="s">
        <v>51</v>
      </c>
      <c r="D53" s="60" t="s">
        <v>175</v>
      </c>
      <c r="E53" s="6" t="s">
        <v>84</v>
      </c>
      <c r="F53" s="19">
        <v>4</v>
      </c>
      <c r="G53" s="19"/>
      <c r="H53" s="19">
        <f>F53*AE42</f>
        <v>0</v>
      </c>
      <c r="I53" s="19">
        <f t="shared" si="4"/>
        <v>0</v>
      </c>
      <c r="J53" s="19">
        <f t="shared" si="5"/>
        <v>0</v>
      </c>
      <c r="K53" s="19">
        <v>0.0028</v>
      </c>
      <c r="L53" s="19">
        <f t="shared" si="6"/>
        <v>0.0112</v>
      </c>
      <c r="M53" s="32" t="s">
        <v>101</v>
      </c>
    </row>
    <row r="54" spans="1:13" ht="12.75">
      <c r="A54" s="6" t="s">
        <v>166</v>
      </c>
      <c r="B54" s="6" t="s">
        <v>37</v>
      </c>
      <c r="C54" s="6" t="s">
        <v>58</v>
      </c>
      <c r="D54" s="6" t="s">
        <v>77</v>
      </c>
      <c r="E54" s="6" t="s">
        <v>84</v>
      </c>
      <c r="F54" s="19">
        <v>4</v>
      </c>
      <c r="G54" s="19"/>
      <c r="H54" s="19">
        <f>F54*AE43</f>
        <v>0</v>
      </c>
      <c r="I54" s="19">
        <f t="shared" si="4"/>
        <v>0</v>
      </c>
      <c r="J54" s="19">
        <f t="shared" si="5"/>
        <v>0</v>
      </c>
      <c r="K54" s="19">
        <v>0</v>
      </c>
      <c r="L54" s="19">
        <f t="shared" si="6"/>
        <v>0</v>
      </c>
      <c r="M54" s="32" t="s">
        <v>101</v>
      </c>
    </row>
    <row r="55" spans="1:13" ht="12.75">
      <c r="A55" s="6" t="s">
        <v>184</v>
      </c>
      <c r="B55" s="6" t="s">
        <v>37</v>
      </c>
      <c r="C55" s="6" t="s">
        <v>50</v>
      </c>
      <c r="D55" s="6" t="s">
        <v>167</v>
      </c>
      <c r="E55" s="6" t="s">
        <v>84</v>
      </c>
      <c r="F55" s="19">
        <v>4</v>
      </c>
      <c r="G55" s="19"/>
      <c r="H55" s="19">
        <f>F55*AE44</f>
        <v>0</v>
      </c>
      <c r="I55" s="19">
        <f t="shared" si="4"/>
        <v>0</v>
      </c>
      <c r="J55" s="19">
        <f t="shared" si="5"/>
        <v>0</v>
      </c>
      <c r="K55" s="19">
        <v>0.0018</v>
      </c>
      <c r="L55" s="19">
        <f t="shared" si="6"/>
        <v>0.0072</v>
      </c>
      <c r="M55" s="32" t="s">
        <v>101</v>
      </c>
    </row>
    <row r="56" spans="1:13" ht="12.75">
      <c r="A56" s="6" t="s">
        <v>185</v>
      </c>
      <c r="B56" s="6" t="s">
        <v>37</v>
      </c>
      <c r="C56" s="6" t="s">
        <v>49</v>
      </c>
      <c r="D56" s="6" t="s">
        <v>73</v>
      </c>
      <c r="E56" s="6" t="s">
        <v>84</v>
      </c>
      <c r="F56" s="19">
        <v>8</v>
      </c>
      <c r="G56" s="19"/>
      <c r="H56" s="19">
        <f>F56*AE45</f>
        <v>0</v>
      </c>
      <c r="I56" s="19">
        <f t="shared" si="4"/>
        <v>0</v>
      </c>
      <c r="J56" s="19">
        <f t="shared" si="5"/>
        <v>0</v>
      </c>
      <c r="K56" s="19">
        <v>0</v>
      </c>
      <c r="L56" s="19">
        <f t="shared" si="6"/>
        <v>0</v>
      </c>
      <c r="M56" s="32" t="s">
        <v>101</v>
      </c>
    </row>
    <row r="57" spans="1:13" ht="12.75">
      <c r="A57" s="6" t="s">
        <v>204</v>
      </c>
      <c r="B57" s="6" t="s">
        <v>36</v>
      </c>
      <c r="C57" s="6"/>
      <c r="D57" s="60" t="s">
        <v>174</v>
      </c>
      <c r="E57" s="6" t="s">
        <v>84</v>
      </c>
      <c r="F57" s="19">
        <v>4</v>
      </c>
      <c r="G57" s="19"/>
      <c r="H57" s="19">
        <f>F57*G57</f>
        <v>0</v>
      </c>
      <c r="I57" s="19">
        <f t="shared" si="4"/>
        <v>0</v>
      </c>
      <c r="J57" s="19">
        <f t="shared" si="5"/>
        <v>0</v>
      </c>
      <c r="K57" s="19">
        <v>1.00023</v>
      </c>
      <c r="L57" s="19">
        <f t="shared" si="6"/>
        <v>4.00092</v>
      </c>
      <c r="M57" s="32" t="s">
        <v>173</v>
      </c>
    </row>
    <row r="58" spans="1:13" ht="12.75">
      <c r="A58" s="60" t="s">
        <v>186</v>
      </c>
      <c r="B58" s="6" t="s">
        <v>37</v>
      </c>
      <c r="C58" s="6" t="s">
        <v>48</v>
      </c>
      <c r="D58" s="6" t="s">
        <v>72</v>
      </c>
      <c r="E58" s="6" t="s">
        <v>84</v>
      </c>
      <c r="F58" s="19">
        <v>4</v>
      </c>
      <c r="G58" s="19"/>
      <c r="H58" s="19">
        <f>F58*AE46</f>
        <v>0</v>
      </c>
      <c r="I58" s="19">
        <f t="shared" si="4"/>
        <v>0</v>
      </c>
      <c r="J58" s="19">
        <f t="shared" si="5"/>
        <v>0</v>
      </c>
      <c r="K58" s="19">
        <v>0.00034</v>
      </c>
      <c r="L58" s="19">
        <f t="shared" si="6"/>
        <v>0.00136</v>
      </c>
      <c r="M58" s="32" t="s">
        <v>101</v>
      </c>
    </row>
    <row r="59" spans="1:13" ht="12.75">
      <c r="A59" s="60" t="s">
        <v>187</v>
      </c>
      <c r="B59" s="6" t="s">
        <v>36</v>
      </c>
      <c r="C59" s="6" t="s">
        <v>55</v>
      </c>
      <c r="D59" s="60" t="s">
        <v>175</v>
      </c>
      <c r="E59" s="6" t="s">
        <v>84</v>
      </c>
      <c r="F59" s="19">
        <v>4</v>
      </c>
      <c r="G59" s="19"/>
      <c r="H59" s="19">
        <f>F59*G59</f>
        <v>0</v>
      </c>
      <c r="I59" s="19">
        <f t="shared" si="4"/>
        <v>0</v>
      </c>
      <c r="J59" s="19">
        <f t="shared" si="5"/>
        <v>0</v>
      </c>
      <c r="K59" s="19">
        <v>0.00037</v>
      </c>
      <c r="L59" s="19">
        <f t="shared" si="6"/>
        <v>0.00148</v>
      </c>
      <c r="M59" s="32" t="s">
        <v>101</v>
      </c>
    </row>
    <row r="60" spans="1:13" ht="12.75">
      <c r="A60" s="60" t="s">
        <v>188</v>
      </c>
      <c r="B60" s="6" t="s">
        <v>36</v>
      </c>
      <c r="C60" s="6" t="s">
        <v>53</v>
      </c>
      <c r="D60" s="60" t="s">
        <v>180</v>
      </c>
      <c r="E60" s="6" t="s">
        <v>84</v>
      </c>
      <c r="F60" s="19">
        <v>4</v>
      </c>
      <c r="G60" s="19"/>
      <c r="H60" s="19">
        <f>F60*G60</f>
        <v>0</v>
      </c>
      <c r="I60" s="19">
        <f t="shared" si="4"/>
        <v>0</v>
      </c>
      <c r="J60" s="19">
        <f t="shared" si="5"/>
        <v>0</v>
      </c>
      <c r="K60" s="19">
        <v>7E-05</v>
      </c>
      <c r="L60" s="19">
        <f t="shared" si="6"/>
        <v>0.00028</v>
      </c>
      <c r="M60" s="32" t="s">
        <v>101</v>
      </c>
    </row>
    <row r="61" spans="1:13" ht="12.75">
      <c r="A61" s="60" t="s">
        <v>189</v>
      </c>
      <c r="B61" s="6" t="s">
        <v>37</v>
      </c>
      <c r="C61" s="6" t="s">
        <v>59</v>
      </c>
      <c r="D61" s="6" t="s">
        <v>78</v>
      </c>
      <c r="E61" s="6" t="s">
        <v>84</v>
      </c>
      <c r="F61" s="19">
        <v>4</v>
      </c>
      <c r="G61" s="19"/>
      <c r="H61" s="19">
        <f>F61*AE48</f>
        <v>0</v>
      </c>
      <c r="I61" s="19">
        <f t="shared" si="4"/>
        <v>0</v>
      </c>
      <c r="J61" s="19">
        <f t="shared" si="5"/>
        <v>0</v>
      </c>
      <c r="K61" s="19">
        <v>0.00047</v>
      </c>
      <c r="L61" s="19">
        <f t="shared" si="6"/>
        <v>0.00188</v>
      </c>
      <c r="M61" s="32" t="s">
        <v>101</v>
      </c>
    </row>
    <row r="62" spans="1:13" ht="12.75">
      <c r="A62" s="61" t="s">
        <v>190</v>
      </c>
      <c r="B62" s="8" t="s">
        <v>37</v>
      </c>
      <c r="C62" s="8" t="s">
        <v>56</v>
      </c>
      <c r="D62" s="61" t="s">
        <v>199</v>
      </c>
      <c r="E62" s="8" t="s">
        <v>85</v>
      </c>
      <c r="F62" s="20">
        <v>126.5</v>
      </c>
      <c r="G62" s="20"/>
      <c r="H62" s="20">
        <f>F62*AE49</f>
        <v>0</v>
      </c>
      <c r="I62" s="20">
        <f t="shared" si="4"/>
        <v>0</v>
      </c>
      <c r="J62" s="20">
        <f t="shared" si="5"/>
        <v>0</v>
      </c>
      <c r="K62" s="20">
        <v>0.00024</v>
      </c>
      <c r="L62" s="20">
        <f t="shared" si="6"/>
        <v>0.03036</v>
      </c>
      <c r="M62" s="33" t="s">
        <v>101</v>
      </c>
    </row>
    <row r="63" spans="1:13" ht="12.75">
      <c r="A63" s="4"/>
      <c r="B63" s="14" t="s">
        <v>37</v>
      </c>
      <c r="C63" s="14"/>
      <c r="D63" s="72" t="s">
        <v>168</v>
      </c>
      <c r="E63" s="73"/>
      <c r="F63" s="73"/>
      <c r="G63" s="73"/>
      <c r="H63" s="39">
        <f>SUM(H64:H64)</f>
        <v>0</v>
      </c>
      <c r="I63" s="39">
        <f>SUM(I64:I64)</f>
        <v>0</v>
      </c>
      <c r="J63" s="39">
        <f>H63+I63</f>
        <v>0</v>
      </c>
      <c r="K63" s="27"/>
      <c r="L63" s="39">
        <f>SUM(L64:L64)</f>
        <v>0</v>
      </c>
      <c r="M63" s="27"/>
    </row>
    <row r="64" spans="1:13" ht="12.75">
      <c r="A64" s="65" t="s">
        <v>191</v>
      </c>
      <c r="B64" s="5" t="s">
        <v>37</v>
      </c>
      <c r="C64" s="5" t="s">
        <v>46</v>
      </c>
      <c r="D64" s="5" t="s">
        <v>169</v>
      </c>
      <c r="E64" s="5" t="s">
        <v>85</v>
      </c>
      <c r="F64" s="18">
        <v>126.5</v>
      </c>
      <c r="G64" s="18"/>
      <c r="H64" s="18">
        <f>F64*M63</f>
        <v>0</v>
      </c>
      <c r="I64" s="18">
        <f>J64-H64</f>
        <v>0</v>
      </c>
      <c r="J64" s="18">
        <f>F64*G64</f>
        <v>0</v>
      </c>
      <c r="K64" s="18">
        <v>0</v>
      </c>
      <c r="L64" s="18">
        <f>F64*K64</f>
        <v>0</v>
      </c>
      <c r="M64" s="31" t="s">
        <v>101</v>
      </c>
    </row>
    <row r="65" spans="1:13" ht="12.75">
      <c r="A65" s="9"/>
      <c r="B65" s="9"/>
      <c r="C65" s="9"/>
      <c r="D65" s="9"/>
      <c r="E65" s="9"/>
      <c r="F65" s="9"/>
      <c r="G65" s="9"/>
      <c r="H65" s="68" t="s">
        <v>91</v>
      </c>
      <c r="I65" s="69"/>
      <c r="J65" s="41">
        <f>J13+J17+J20+J24+J41+J44+J46+J50+J63+J38+J48+J22</f>
        <v>0</v>
      </c>
      <c r="K65" s="9"/>
      <c r="L65" s="9"/>
      <c r="M65" s="9"/>
    </row>
    <row r="66" ht="12.75">
      <c r="A66" s="10" t="s">
        <v>34</v>
      </c>
    </row>
    <row r="67" spans="1:13" ht="12.75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</sheetData>
  <sheetProtection/>
  <mergeCells count="43">
    <mergeCell ref="D22:G22"/>
    <mergeCell ref="D48:G48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17:G17"/>
    <mergeCell ref="D20:G20"/>
    <mergeCell ref="H65:I65"/>
    <mergeCell ref="A67:M67"/>
    <mergeCell ref="D24:G24"/>
    <mergeCell ref="D40:G40"/>
    <mergeCell ref="D41:G41"/>
    <mergeCell ref="D44:G44"/>
    <mergeCell ref="D46:G46"/>
    <mergeCell ref="D50:G50"/>
    <mergeCell ref="D38:G38"/>
    <mergeCell ref="D63:G63"/>
  </mergeCells>
  <printOptions/>
  <pageMargins left="0.394" right="0.394" top="0.591" bottom="0.591" header="0.5" footer="0.5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45"/>
      <c r="C1" s="129" t="s">
        <v>138</v>
      </c>
      <c r="D1" s="130"/>
      <c r="E1" s="130"/>
      <c r="F1" s="130"/>
      <c r="G1" s="130"/>
      <c r="H1" s="130"/>
      <c r="I1" s="130"/>
    </row>
    <row r="2" spans="1:10" ht="38.25" customHeight="1">
      <c r="A2" s="94" t="s">
        <v>1</v>
      </c>
      <c r="B2" s="95"/>
      <c r="C2" s="131" t="str">
        <f>'Stavební rozpočet'!D2:D3</f>
        <v>Oprava vnitřního rozvodu pitné vody a požárního vodovodu, č.p. 94, 95, 96, 97, k.ú. Sokolov
</v>
      </c>
      <c r="D2" s="132"/>
      <c r="E2" s="97" t="s">
        <v>92</v>
      </c>
      <c r="F2" s="98" t="s">
        <v>192</v>
      </c>
      <c r="G2" s="95"/>
      <c r="H2" s="97" t="s">
        <v>162</v>
      </c>
      <c r="I2" s="66" t="s">
        <v>195</v>
      </c>
      <c r="J2" s="34"/>
    </row>
    <row r="3" spans="1:10" ht="17.25" customHeight="1">
      <c r="A3" s="90"/>
      <c r="B3" s="71"/>
      <c r="C3" s="133"/>
      <c r="D3" s="133"/>
      <c r="E3" s="71"/>
      <c r="F3" s="71"/>
      <c r="G3" s="71"/>
      <c r="H3" s="71"/>
      <c r="I3" s="67" t="s">
        <v>193</v>
      </c>
      <c r="J3" s="34"/>
    </row>
    <row r="4" spans="1:10" ht="12.75">
      <c r="A4" s="82" t="s">
        <v>2</v>
      </c>
      <c r="B4" s="71"/>
      <c r="C4" s="124" t="s">
        <v>197</v>
      </c>
      <c r="D4" s="71"/>
      <c r="E4" s="70" t="s">
        <v>93</v>
      </c>
      <c r="F4" s="124" t="s">
        <v>194</v>
      </c>
      <c r="G4" s="71"/>
      <c r="H4" s="70" t="s">
        <v>162</v>
      </c>
      <c r="I4" s="127" t="s">
        <v>196</v>
      </c>
      <c r="J4" s="34"/>
    </row>
    <row r="5" spans="1:10" ht="12.75">
      <c r="A5" s="90"/>
      <c r="B5" s="71"/>
      <c r="C5" s="71"/>
      <c r="D5" s="71"/>
      <c r="E5" s="71"/>
      <c r="F5" s="71"/>
      <c r="G5" s="71"/>
      <c r="H5" s="71"/>
      <c r="I5" s="81"/>
      <c r="J5" s="34"/>
    </row>
    <row r="6" spans="1:10" ht="12.75">
      <c r="A6" s="82" t="s">
        <v>3</v>
      </c>
      <c r="B6" s="71"/>
      <c r="C6" s="70" t="s">
        <v>60</v>
      </c>
      <c r="D6" s="71"/>
      <c r="E6" s="70" t="s">
        <v>94</v>
      </c>
      <c r="F6" s="70"/>
      <c r="G6" s="71"/>
      <c r="H6" s="70" t="s">
        <v>162</v>
      </c>
      <c r="I6" s="128"/>
      <c r="J6" s="34"/>
    </row>
    <row r="7" spans="1:10" ht="12.75">
      <c r="A7" s="90"/>
      <c r="B7" s="71"/>
      <c r="C7" s="71"/>
      <c r="D7" s="71"/>
      <c r="E7" s="71"/>
      <c r="F7" s="71"/>
      <c r="G7" s="71"/>
      <c r="H7" s="71"/>
      <c r="I7" s="81"/>
      <c r="J7" s="34"/>
    </row>
    <row r="8" spans="1:10" ht="12.75">
      <c r="A8" s="82" t="s">
        <v>80</v>
      </c>
      <c r="B8" s="71"/>
      <c r="C8" s="86"/>
      <c r="D8" s="71"/>
      <c r="E8" s="70" t="s">
        <v>81</v>
      </c>
      <c r="F8" s="71"/>
      <c r="G8" s="71"/>
      <c r="H8" s="85" t="s">
        <v>163</v>
      </c>
      <c r="I8" s="127" t="s">
        <v>191</v>
      </c>
      <c r="J8" s="34"/>
    </row>
    <row r="9" spans="1:10" ht="12.75">
      <c r="A9" s="90"/>
      <c r="B9" s="71"/>
      <c r="C9" s="71"/>
      <c r="D9" s="71"/>
      <c r="E9" s="71"/>
      <c r="F9" s="71"/>
      <c r="G9" s="71"/>
      <c r="H9" s="71"/>
      <c r="I9" s="81"/>
      <c r="J9" s="34"/>
    </row>
    <row r="10" spans="1:10" ht="12.75">
      <c r="A10" s="82" t="s">
        <v>4</v>
      </c>
      <c r="B10" s="71"/>
      <c r="C10" s="70"/>
      <c r="D10" s="71"/>
      <c r="E10" s="70" t="s">
        <v>95</v>
      </c>
      <c r="F10" s="124" t="s">
        <v>194</v>
      </c>
      <c r="G10" s="71"/>
      <c r="H10" s="85" t="s">
        <v>164</v>
      </c>
      <c r="I10" s="125"/>
      <c r="J10" s="3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6"/>
      <c r="J11" s="34"/>
    </row>
    <row r="12" spans="1:9" ht="23.25" customHeight="1">
      <c r="A12" s="118" t="s">
        <v>125</v>
      </c>
      <c r="B12" s="119"/>
      <c r="C12" s="119"/>
      <c r="D12" s="119"/>
      <c r="E12" s="119"/>
      <c r="F12" s="119"/>
      <c r="G12" s="119"/>
      <c r="H12" s="119"/>
      <c r="I12" s="119"/>
    </row>
    <row r="13" spans="1:10" ht="26.25" customHeight="1">
      <c r="A13" s="46" t="s">
        <v>36</v>
      </c>
      <c r="B13" s="120" t="s">
        <v>136</v>
      </c>
      <c r="C13" s="121"/>
      <c r="D13" s="46" t="s">
        <v>37</v>
      </c>
      <c r="E13" s="120" t="s">
        <v>147</v>
      </c>
      <c r="F13" s="121"/>
      <c r="G13" s="46" t="s">
        <v>148</v>
      </c>
      <c r="H13" s="120" t="s">
        <v>165</v>
      </c>
      <c r="I13" s="121"/>
      <c r="J13" s="34"/>
    </row>
    <row r="14" spans="1:10" ht="15" customHeight="1">
      <c r="A14" s="47" t="s">
        <v>126</v>
      </c>
      <c r="B14" s="50" t="s">
        <v>137</v>
      </c>
      <c r="C14" s="53">
        <v>0</v>
      </c>
      <c r="D14" s="116" t="s">
        <v>139</v>
      </c>
      <c r="E14" s="117"/>
      <c r="F14" s="53">
        <v>0</v>
      </c>
      <c r="G14" s="116" t="s">
        <v>149</v>
      </c>
      <c r="H14" s="117"/>
      <c r="I14" s="53">
        <v>0</v>
      </c>
      <c r="J14" s="34"/>
    </row>
    <row r="15" spans="1:10" ht="15" customHeight="1">
      <c r="A15" s="48"/>
      <c r="B15" s="50" t="s">
        <v>96</v>
      </c>
      <c r="C15" s="53">
        <v>0</v>
      </c>
      <c r="D15" s="116" t="s">
        <v>140</v>
      </c>
      <c r="E15" s="117"/>
      <c r="F15" s="53">
        <v>0</v>
      </c>
      <c r="G15" s="116" t="s">
        <v>150</v>
      </c>
      <c r="H15" s="117"/>
      <c r="I15" s="53">
        <v>0</v>
      </c>
      <c r="J15" s="34"/>
    </row>
    <row r="16" spans="1:10" ht="15" customHeight="1">
      <c r="A16" s="47" t="s">
        <v>127</v>
      </c>
      <c r="B16" s="50" t="s">
        <v>137</v>
      </c>
      <c r="C16" s="53">
        <v>0</v>
      </c>
      <c r="D16" s="116" t="s">
        <v>141</v>
      </c>
      <c r="E16" s="117"/>
      <c r="F16" s="53">
        <v>0</v>
      </c>
      <c r="G16" s="116" t="s">
        <v>151</v>
      </c>
      <c r="H16" s="117"/>
      <c r="I16" s="53">
        <v>0</v>
      </c>
      <c r="J16" s="34"/>
    </row>
    <row r="17" spans="1:10" ht="15" customHeight="1">
      <c r="A17" s="48"/>
      <c r="B17" s="50" t="s">
        <v>96</v>
      </c>
      <c r="C17" s="53">
        <v>0</v>
      </c>
      <c r="D17" s="116"/>
      <c r="E17" s="117"/>
      <c r="F17" s="54"/>
      <c r="G17" s="116" t="s">
        <v>152</v>
      </c>
      <c r="H17" s="117"/>
      <c r="I17" s="53">
        <v>0</v>
      </c>
      <c r="J17" s="34"/>
    </row>
    <row r="18" spans="1:10" ht="15" customHeight="1">
      <c r="A18" s="47" t="s">
        <v>128</v>
      </c>
      <c r="B18" s="50" t="s">
        <v>137</v>
      </c>
      <c r="C18" s="53">
        <f>SUM('Stavební rozpočet'!V12:V49)</f>
        <v>0</v>
      </c>
      <c r="D18" s="116"/>
      <c r="E18" s="117"/>
      <c r="F18" s="54"/>
      <c r="G18" s="116" t="s">
        <v>153</v>
      </c>
      <c r="H18" s="117"/>
      <c r="I18" s="53">
        <v>0</v>
      </c>
      <c r="J18" s="34"/>
    </row>
    <row r="19" spans="1:10" ht="15" customHeight="1">
      <c r="A19" s="48"/>
      <c r="B19" s="50" t="s">
        <v>96</v>
      </c>
      <c r="C19" s="53">
        <f>SUM('Stavební rozpočet'!W12:W49)</f>
        <v>0</v>
      </c>
      <c r="D19" s="116"/>
      <c r="E19" s="117"/>
      <c r="F19" s="54"/>
      <c r="G19" s="116" t="s">
        <v>154</v>
      </c>
      <c r="H19" s="117"/>
      <c r="I19" s="53">
        <v>0</v>
      </c>
      <c r="J19" s="34"/>
    </row>
    <row r="20" spans="1:10" ht="15" customHeight="1">
      <c r="A20" s="114" t="s">
        <v>70</v>
      </c>
      <c r="B20" s="115"/>
      <c r="C20" s="53">
        <v>0</v>
      </c>
      <c r="D20" s="116"/>
      <c r="E20" s="117"/>
      <c r="F20" s="54"/>
      <c r="G20" s="116"/>
      <c r="H20" s="117"/>
      <c r="I20" s="54"/>
      <c r="J20" s="34"/>
    </row>
    <row r="21" spans="1:10" ht="15" customHeight="1">
      <c r="A21" s="114" t="s">
        <v>129</v>
      </c>
      <c r="B21" s="115"/>
      <c r="C21" s="53">
        <f>SUM('Stavební rozpočet'!P12:P49)</f>
        <v>0</v>
      </c>
      <c r="D21" s="116"/>
      <c r="E21" s="117"/>
      <c r="F21" s="54"/>
      <c r="G21" s="116"/>
      <c r="H21" s="117"/>
      <c r="I21" s="54"/>
      <c r="J21" s="34"/>
    </row>
    <row r="22" spans="1:10" ht="16.5" customHeight="1">
      <c r="A22" s="114" t="s">
        <v>130</v>
      </c>
      <c r="B22" s="115"/>
      <c r="C22" s="53">
        <f>'Stavební rozpočet'!J65</f>
        <v>0</v>
      </c>
      <c r="D22" s="114" t="s">
        <v>142</v>
      </c>
      <c r="E22" s="115"/>
      <c r="F22" s="53">
        <f>SUM(F14:F21)</f>
        <v>0</v>
      </c>
      <c r="G22" s="114" t="s">
        <v>155</v>
      </c>
      <c r="H22" s="115"/>
      <c r="I22" s="53">
        <f>SUM(I14:I21)</f>
        <v>0</v>
      </c>
      <c r="J22" s="34"/>
    </row>
    <row r="23" spans="1:10" ht="15" customHeight="1">
      <c r="A23" s="9"/>
      <c r="B23" s="9"/>
      <c r="C23" s="51"/>
      <c r="D23" s="114" t="s">
        <v>143</v>
      </c>
      <c r="E23" s="115"/>
      <c r="F23" s="55">
        <v>0</v>
      </c>
      <c r="G23" s="114" t="s">
        <v>156</v>
      </c>
      <c r="H23" s="115"/>
      <c r="I23" s="53">
        <v>0</v>
      </c>
      <c r="J23" s="34"/>
    </row>
    <row r="24" spans="4:10" ht="15" customHeight="1">
      <c r="D24" s="9"/>
      <c r="E24" s="9"/>
      <c r="F24" s="56"/>
      <c r="G24" s="114" t="s">
        <v>157</v>
      </c>
      <c r="H24" s="115"/>
      <c r="I24" s="53">
        <v>0</v>
      </c>
      <c r="J24" s="34"/>
    </row>
    <row r="25" spans="6:10" ht="15" customHeight="1">
      <c r="F25" s="57"/>
      <c r="G25" s="114" t="s">
        <v>158</v>
      </c>
      <c r="H25" s="115"/>
      <c r="I25" s="53">
        <v>0</v>
      </c>
      <c r="J25" s="34"/>
    </row>
    <row r="26" spans="1:9" ht="12.75">
      <c r="A26" s="45"/>
      <c r="B26" s="45"/>
      <c r="C26" s="45"/>
      <c r="G26" s="9"/>
      <c r="H26" s="9"/>
      <c r="I26" s="9"/>
    </row>
    <row r="27" spans="1:9" ht="15" customHeight="1">
      <c r="A27" s="109" t="s">
        <v>131</v>
      </c>
      <c r="B27" s="110"/>
      <c r="C27" s="58">
        <f>SUM('Stavební rozpočet'!Z12:Z49)</f>
        <v>0</v>
      </c>
      <c r="D27" s="52"/>
      <c r="E27" s="45"/>
      <c r="F27" s="45"/>
      <c r="G27" s="45"/>
      <c r="H27" s="45"/>
      <c r="I27" s="45"/>
    </row>
    <row r="28" spans="1:10" ht="15" customHeight="1">
      <c r="A28" s="109" t="s">
        <v>132</v>
      </c>
      <c r="B28" s="110"/>
      <c r="C28" s="58">
        <f>E22</f>
        <v>0</v>
      </c>
      <c r="D28" s="109" t="s">
        <v>144</v>
      </c>
      <c r="E28" s="110"/>
      <c r="F28" s="58">
        <f>ROUND(C28*(15/100),2)</f>
        <v>0</v>
      </c>
      <c r="G28" s="109" t="s">
        <v>159</v>
      </c>
      <c r="H28" s="110"/>
      <c r="I28" s="58">
        <f>SUM(C27:C29)</f>
        <v>0</v>
      </c>
      <c r="J28" s="34"/>
    </row>
    <row r="29" spans="1:10" ht="15" customHeight="1">
      <c r="A29" s="109" t="s">
        <v>133</v>
      </c>
      <c r="B29" s="110"/>
      <c r="C29" s="58">
        <v>0</v>
      </c>
      <c r="D29" s="109" t="s">
        <v>145</v>
      </c>
      <c r="E29" s="110"/>
      <c r="F29" s="58">
        <f>ROUND(C29*(21/100),2)</f>
        <v>0</v>
      </c>
      <c r="G29" s="109" t="s">
        <v>160</v>
      </c>
      <c r="H29" s="110"/>
      <c r="I29" s="58">
        <f>SUM(F28:F29)+I28</f>
        <v>0</v>
      </c>
      <c r="J29" s="34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25" customHeight="1">
      <c r="A31" s="111" t="s">
        <v>134</v>
      </c>
      <c r="B31" s="112"/>
      <c r="C31" s="113"/>
      <c r="D31" s="111" t="s">
        <v>146</v>
      </c>
      <c r="E31" s="112"/>
      <c r="F31" s="113"/>
      <c r="G31" s="111" t="s">
        <v>161</v>
      </c>
      <c r="H31" s="112"/>
      <c r="I31" s="113"/>
      <c r="J31" s="35"/>
    </row>
    <row r="32" spans="1:10" ht="14.25" customHeight="1">
      <c r="A32" s="100"/>
      <c r="B32" s="101"/>
      <c r="C32" s="102"/>
      <c r="D32" s="100"/>
      <c r="E32" s="101"/>
      <c r="F32" s="102"/>
      <c r="G32" s="100"/>
      <c r="H32" s="101"/>
      <c r="I32" s="102"/>
      <c r="J32" s="35"/>
    </row>
    <row r="33" spans="1:10" ht="14.25" customHeight="1">
      <c r="A33" s="100"/>
      <c r="B33" s="101"/>
      <c r="C33" s="102"/>
      <c r="D33" s="100"/>
      <c r="E33" s="101"/>
      <c r="F33" s="102"/>
      <c r="G33" s="100"/>
      <c r="H33" s="101"/>
      <c r="I33" s="102"/>
      <c r="J33" s="35"/>
    </row>
    <row r="34" spans="1:10" ht="14.25" customHeight="1">
      <c r="A34" s="100"/>
      <c r="B34" s="101"/>
      <c r="C34" s="102"/>
      <c r="D34" s="100"/>
      <c r="E34" s="101"/>
      <c r="F34" s="102"/>
      <c r="G34" s="100"/>
      <c r="H34" s="101"/>
      <c r="I34" s="102"/>
      <c r="J34" s="35"/>
    </row>
    <row r="35" spans="1:10" ht="14.25" customHeight="1">
      <c r="A35" s="103" t="s">
        <v>201</v>
      </c>
      <c r="B35" s="104"/>
      <c r="C35" s="105"/>
      <c r="D35" s="106" t="s">
        <v>135</v>
      </c>
      <c r="E35" s="107"/>
      <c r="F35" s="108"/>
      <c r="G35" s="103"/>
      <c r="H35" s="104"/>
      <c r="I35" s="105"/>
      <c r="J35" s="35"/>
    </row>
    <row r="36" spans="1:9" ht="11.25" customHeight="1">
      <c r="A36" s="44" t="s">
        <v>34</v>
      </c>
      <c r="B36" s="43"/>
      <c r="C36" s="43"/>
      <c r="D36" s="43"/>
      <c r="E36" s="43"/>
      <c r="F36" s="43"/>
      <c r="G36" s="43"/>
      <c r="H36" s="43"/>
      <c r="I36" s="43"/>
    </row>
    <row r="37" spans="1:9" ht="409.5" customHeight="1" hidden="1">
      <c r="A37" s="70"/>
      <c r="B37" s="71"/>
      <c r="C37" s="71"/>
      <c r="D37" s="71"/>
      <c r="E37" s="71"/>
      <c r="F37" s="71"/>
      <c r="G37" s="71"/>
      <c r="H37" s="71"/>
      <c r="I37" s="71"/>
    </row>
  </sheetData>
  <sheetProtection/>
  <mergeCells count="82">
    <mergeCell ref="C1:I1"/>
    <mergeCell ref="A2:B3"/>
    <mergeCell ref="C2:D3"/>
    <mergeCell ref="E2:E3"/>
    <mergeCell ref="F2:G3"/>
    <mergeCell ref="H2:H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Volmut</dc:creator>
  <cp:keywords/>
  <dc:description/>
  <cp:lastModifiedBy>Karel Rambousek</cp:lastModifiedBy>
  <cp:lastPrinted>2016-11-09T11:50:11Z</cp:lastPrinted>
  <dcterms:created xsi:type="dcterms:W3CDTF">2016-10-31T17:06:14Z</dcterms:created>
  <dcterms:modified xsi:type="dcterms:W3CDTF">2017-04-07T07:07:55Z</dcterms:modified>
  <cp:category/>
  <cp:version/>
  <cp:contentType/>
  <cp:contentStatus/>
</cp:coreProperties>
</file>