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Krycí list rozpočtu" sheetId="2" r:id="rId2"/>
    <sheet name="VORN" sheetId="3" r:id="rId3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<sst xmlns="http://schemas.openxmlformats.org/spreadsheetml/2006/main" count="364" uniqueCount="188">
  <si>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</si>
  <si>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</si>
  <si>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</si>
  <si>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</si>
  <si>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</si>
  <si>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</si>
  <si>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</si>
  <si>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</si>
  <si>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</si>
  <si>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</si>
  <si>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</si>
  <si>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</si>
  <si>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</si>
  <si>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</si>
  <si>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</si>
  <si>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</si>
  <si>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</si>
  <si>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</si>
  <si>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</si>
  <si>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</si>
  <si>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</si>
  <si>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</si>
  <si>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</si>
  <si>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</si>
  <si>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</si>
  <si>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</si>
  <si>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Poznámka:</t>
  </si>
  <si>
    <t>Objekt</t>
  </si>
  <si>
    <t>Kód</t>
  </si>
  <si>
    <t>61</t>
  </si>
  <si>
    <t>611421231R00</t>
  </si>
  <si>
    <t>611421431R00</t>
  </si>
  <si>
    <t>612481211RT8</t>
  </si>
  <si>
    <t>612421231RT2</t>
  </si>
  <si>
    <t>612421431R00</t>
  </si>
  <si>
    <t>612451082R00</t>
  </si>
  <si>
    <t>783</t>
  </si>
  <si>
    <t>783222100R00</t>
  </si>
  <si>
    <t>783903812R00</t>
  </si>
  <si>
    <t>783812920R00</t>
  </si>
  <si>
    <t>784</t>
  </si>
  <si>
    <t>784401801R00</t>
  </si>
  <si>
    <t>784450020RA0</t>
  </si>
  <si>
    <t>784497901R00</t>
  </si>
  <si>
    <t>919</t>
  </si>
  <si>
    <t>919999991VD</t>
  </si>
  <si>
    <t>941</t>
  </si>
  <si>
    <t>941001010VD</t>
  </si>
  <si>
    <t>97</t>
  </si>
  <si>
    <t>978021161R00</t>
  </si>
  <si>
    <t>S</t>
  </si>
  <si>
    <t>979012112R00</t>
  </si>
  <si>
    <t>979081111R00</t>
  </si>
  <si>
    <t>979081121R00</t>
  </si>
  <si>
    <t>979990001R00</t>
  </si>
  <si>
    <t>Malby a nátěry společných prostor</t>
  </si>
  <si>
    <t>Sokolov, ul. J. z Poděbrad 2046</t>
  </si>
  <si>
    <t>Zkrácený popis</t>
  </si>
  <si>
    <t>Rozměry</t>
  </si>
  <si>
    <t>Úprava povrchů vnitřní</t>
  </si>
  <si>
    <t>Oprava omítek stropů do 10% plochy - štukových</t>
  </si>
  <si>
    <t>Oprava omítek stropů do 50% plochy - štukových</t>
  </si>
  <si>
    <t>Montáž výztužné sítě (perlinky) do stěrky-stěny</t>
  </si>
  <si>
    <t>Oprava omítek stěn do 10 % pl. - štukových</t>
  </si>
  <si>
    <t>Oprava omítek stěn do 50 % pl. - štukových</t>
  </si>
  <si>
    <t>Vyplnění spár trvale pružným tmelem</t>
  </si>
  <si>
    <t>Nátěry</t>
  </si>
  <si>
    <t>Nátěr syntetický kovových konstrukcí dvojnásobný</t>
  </si>
  <si>
    <t>Odmaštění saponáty</t>
  </si>
  <si>
    <t>Údržba, nátěr olejový omítek stěn 1x + 1x email</t>
  </si>
  <si>
    <t>Malby</t>
  </si>
  <si>
    <t>Odstranění malby obroušením</t>
  </si>
  <si>
    <t>Malba ze směsi Remal, penetrace 1x, bílá 2x - stropy</t>
  </si>
  <si>
    <t>Malba ze směsi Remal, penetrace 1x, bílá 2x - stěny</t>
  </si>
  <si>
    <t>Mydlení jednonásobné</t>
  </si>
  <si>
    <t>Ostatní</t>
  </si>
  <si>
    <t>Vyčištění a vyklizení objektu</t>
  </si>
  <si>
    <t>Lehké pracovní</t>
  </si>
  <si>
    <t>Pronájem, montáž, demontáž a přesuny pomocného lešení</t>
  </si>
  <si>
    <t>Prorážení otvorů a ostatní bourací práce</t>
  </si>
  <si>
    <t>Otlučení omítek vnitřních stěn a stropů vč. odstranění stěrek do 50 %</t>
  </si>
  <si>
    <t>Přesuny sutí</t>
  </si>
  <si>
    <t>Svislá doprava suti na výšku do 3,5 m</t>
  </si>
  <si>
    <t>Odvoz suti a vybour. hmot na skládku do 1 km</t>
  </si>
  <si>
    <t>Příplatek k odvozu za každý další 1 km</t>
  </si>
  <si>
    <t>Poplatek za skládku stavební suti</t>
  </si>
  <si>
    <t>Doba výstavby:</t>
  </si>
  <si>
    <t>Začátek výstavby:</t>
  </si>
  <si>
    <t>Konec výstavby:</t>
  </si>
  <si>
    <t>Zpracováno dne:</t>
  </si>
  <si>
    <t>M.j.</t>
  </si>
  <si>
    <t>m2</t>
  </si>
  <si>
    <t>soubor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</si>
  <si>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</si>
  <si>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</si>
  <si>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</si>
  <si>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</si>
  <si>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</si>
  <si>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</si>
  <si>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</si>
  <si>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</si>
  <si>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</si>
  <si>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</si>
  <si>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</si>
  <si>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</si>
  <si>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</si>
  <si>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</si>
  <si>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</si>
  <si>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</si>
  <si>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2016</t>
  </si>
  <si>
    <t>Přesuny</t>
  </si>
  <si>
    <t>Typ skupiny</t>
  </si>
  <si>
    <t>HS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</si>
  <si>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</si>
  <si>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</si>
  <si>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</si>
  <si>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</si>
  <si>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</si>
  <si>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</si>
  <si>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</si>
  <si>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</si>
  <si>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</si>
  <si>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783_</t>
  </si>
  <si>
    <t>784_</t>
  </si>
  <si>
    <t>919_</t>
  </si>
  <si>
    <t>941_</t>
  </si>
  <si>
    <t>97_</t>
  </si>
  <si>
    <t>S_</t>
  </si>
  <si>
    <t>6_</t>
  </si>
  <si>
    <t>78_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</si>
  <si>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</si>
  <si>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</si>
  <si>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</si>
  <si>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</si>
  <si>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</si>
  <si>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</si>
  <si>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</si>
  <si>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</si>
  <si>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</si>
  <si>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</si>
  <si>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</si>
  <si>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</si>
  <si>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</si>
  <si>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</si>
  <si>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</si>
  <si>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</si>
  <si>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</si>
  <si>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</si>
  <si>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</si>
  <si>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</si>
  <si>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</si>
  <si>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</si>
  <si>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</si>
  <si>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</si>
  <si>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</si>
  <si>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</si>
  <si>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</si>
  <si>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</si>
  <si>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</si>
  <si>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</si>
  <si>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</si>
  <si>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</si>
  <si>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</si>
  <si>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</si>
  <si>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</si>
  <si>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</si>
  <si>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</si>
  <si>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</si>
  <si>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</si>
  <si>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</si>
  <si>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</si>
  <si>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</si>
  <si>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</si>
  <si>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</si>
  <si>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</si>
  <si>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</si>
  <si>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</si>
  <si>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</si>
  <si>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</si>
  <si>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</si>
  <si>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</si>
  <si>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</si>
  <si>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</si>
  <si>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</si>
  <si>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</si>
  <si>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</si>
  <si>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Nabídkový stavební rozpočet</t>
  </si>
  <si>
    <t>Krycí list nabídkového rozpočtu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</si>
</sst>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8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9" fillId="34" borderId="26" xfId="0" applyNumberFormat="1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horizontal="left" vertical="center"/>
      <protection/>
    </xf>
    <xf numFmtId="49" fontId="10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1" fillId="0" borderId="26" xfId="0" applyNumberFormat="1" applyFont="1" applyFill="1" applyBorder="1" applyAlignment="1" applyProtection="1">
      <alignment horizontal="right" vertical="center"/>
      <protection/>
    </xf>
    <xf numFmtId="49" fontId="11" fillId="0" borderId="26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0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9" fontId="3" fillId="0" borderId="37" xfId="0" applyNumberFormat="1" applyFont="1" applyFill="1" applyBorder="1" applyAlignment="1" applyProtection="1">
      <alignment horizontal="right" vertical="center"/>
      <protection/>
    </xf>
    <xf numFmtId="4" fontId="1" fillId="0" borderId="26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right" vertical="center"/>
      <protection/>
    </xf>
    <xf numFmtId="4" fontId="3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0" fillId="0" borderId="47" xfId="0" applyNumberFormat="1" applyFont="1" applyFill="1" applyBorder="1" applyAlignment="1" applyProtection="1">
      <alignment horizontal="lef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49" fontId="10" fillId="34" borderId="47" xfId="0" applyNumberFormat="1" applyFont="1" applyFill="1" applyBorder="1" applyAlignment="1" applyProtection="1">
      <alignment horizontal="left" vertical="center"/>
      <protection/>
    </xf>
    <xf numFmtId="0" fontId="10" fillId="34" borderId="46" xfId="0" applyNumberFormat="1" applyFont="1" applyFill="1" applyBorder="1" applyAlignment="1" applyProtection="1">
      <alignment horizontal="left" vertical="center"/>
      <protection/>
    </xf>
    <xf numFmtId="49" fontId="11" fillId="0" borderId="48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9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50" xfId="0" applyNumberFormat="1" applyFont="1" applyFill="1" applyBorder="1" applyAlignment="1" applyProtection="1">
      <alignment horizontal="left" vertical="center"/>
      <protection/>
    </xf>
    <xf numFmtId="49" fontId="11" fillId="0" borderId="51" xfId="0" applyNumberFormat="1" applyFont="1" applyFill="1" applyBorder="1" applyAlignment="1" applyProtection="1">
      <alignment horizontal="left" vertical="center"/>
      <protection/>
    </xf>
    <xf numFmtId="0" fontId="11" fillId="0" borderId="36" xfId="0" applyNumberFormat="1" applyFont="1" applyFill="1" applyBorder="1" applyAlignment="1" applyProtection="1">
      <alignment horizontal="left" vertical="center"/>
      <protection/>
    </xf>
    <xf numFmtId="0" fontId="11" fillId="0" borderId="52" xfId="0" applyNumberFormat="1" applyFont="1" applyFill="1" applyBorder="1" applyAlignment="1" applyProtection="1">
      <alignment horizontal="left" vertical="center"/>
      <protection/>
    </xf>
    <xf numFmtId="49" fontId="10" fillId="0" borderId="36" xfId="0" applyNumberFormat="1" applyFont="1" applyFill="1" applyBorder="1" applyAlignment="1" applyProtection="1">
      <alignment horizontal="left" vertical="center"/>
      <protection/>
    </xf>
    <xf numFmtId="0" fontId="10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3" fillId="0" borderId="55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56" xfId="0" applyNumberFormat="1" applyFont="1" applyFill="1" applyBorder="1" applyAlignment="1" applyProtection="1">
      <alignment horizontal="left" vertical="center"/>
      <protection/>
    </xf>
    <xf numFmtId="49" fontId="10" fillId="0" borderId="55" xfId="0" applyNumberFormat="1" applyFont="1" applyFill="1" applyBorder="1" applyAlignment="1" applyProtection="1">
      <alignment horizontal="left" vertical="center"/>
      <protection/>
    </xf>
    <xf numFmtId="0" fontId="10" fillId="0" borderId="35" xfId="0" applyNumberFormat="1" applyFont="1" applyFill="1" applyBorder="1" applyAlignment="1" applyProtection="1">
      <alignment horizontal="left" vertical="center"/>
      <protection/>
    </xf>
    <xf numFmtId="0" fontId="10" fillId="0" borderId="56" xfId="0" applyNumberFormat="1" applyFont="1" applyFill="1" applyBorder="1" applyAlignment="1" applyProtection="1">
      <alignment horizontal="left" vertical="center"/>
      <protection/>
    </xf>
    <xf numFmtId="4" fontId="10" fillId="0" borderId="55" xfId="0" applyNumberFormat="1" applyFont="1" applyFill="1" applyBorder="1" applyAlignment="1" applyProtection="1">
      <alignment horizontal="right" vertical="center"/>
      <protection/>
    </xf>
    <xf numFmtId="0" fontId="10" fillId="0" borderId="35" xfId="0" applyNumberFormat="1" applyFont="1" applyFill="1" applyBorder="1" applyAlignment="1" applyProtection="1">
      <alignment horizontal="right" vertical="center"/>
      <protection/>
    </xf>
    <xf numFmtId="0" fontId="10" fillId="0" borderId="56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tabSelected="1" zoomScalePageLayoutView="0" workbookViewId="0" topLeftCell="A1">
      <selection activeCell="J8" sqref="J8:M9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7.710937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63" t="s">
        <v>186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ht="12.75">
      <c r="A2" s="65" t="s">
        <v>0</v>
      </c>
      <c r="B2" s="66"/>
      <c r="C2" s="66"/>
      <c r="D2" s="69" t="s">
        <v>55</v>
      </c>
      <c r="E2" s="71" t="s">
        <v>86</v>
      </c>
      <c r="F2" s="66"/>
      <c r="G2" s="71"/>
      <c r="H2" s="66"/>
      <c r="I2" s="72" t="s">
        <v>100</v>
      </c>
      <c r="J2" s="72"/>
      <c r="K2" s="66"/>
      <c r="L2" s="66"/>
      <c r="M2" s="73"/>
      <c r="N2" s="28"/>
    </row>
    <row r="3" spans="1:14" ht="12.75">
      <c r="A3" s="67"/>
      <c r="B3" s="68"/>
      <c r="C3" s="68"/>
      <c r="D3" s="70"/>
      <c r="E3" s="68"/>
      <c r="F3" s="68"/>
      <c r="G3" s="68"/>
      <c r="H3" s="68"/>
      <c r="I3" s="68"/>
      <c r="J3" s="68"/>
      <c r="K3" s="68"/>
      <c r="L3" s="68"/>
      <c r="M3" s="74"/>
      <c r="N3" s="28"/>
    </row>
    <row r="4" spans="1:14" ht="12.75">
      <c r="A4" s="75" t="s">
        <v>1</v>
      </c>
      <c r="B4" s="68"/>
      <c r="C4" s="68"/>
      <c r="D4" s="76"/>
      <c r="E4" s="77" t="s">
        <v>87</v>
      </c>
      <c r="F4" s="68"/>
      <c r="G4" s="78"/>
      <c r="H4" s="68"/>
      <c r="I4" s="76" t="s">
        <v>101</v>
      </c>
      <c r="J4" s="76"/>
      <c r="K4" s="68"/>
      <c r="L4" s="68"/>
      <c r="M4" s="74"/>
      <c r="N4" s="28"/>
    </row>
    <row r="5" spans="1:14" ht="12.7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74"/>
      <c r="N5" s="28"/>
    </row>
    <row r="6" spans="1:14" ht="12.75">
      <c r="A6" s="75" t="s">
        <v>2</v>
      </c>
      <c r="B6" s="68"/>
      <c r="C6" s="68"/>
      <c r="D6" s="76" t="s">
        <v>56</v>
      </c>
      <c r="E6" s="77" t="s">
        <v>88</v>
      </c>
      <c r="F6" s="68"/>
      <c r="G6" s="78"/>
      <c r="H6" s="68"/>
      <c r="I6" s="76" t="s">
        <v>102</v>
      </c>
      <c r="J6" s="76"/>
      <c r="K6" s="68"/>
      <c r="L6" s="68"/>
      <c r="M6" s="74"/>
      <c r="N6" s="28"/>
    </row>
    <row r="7" spans="1:14" ht="12.7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74"/>
      <c r="N7" s="28"/>
    </row>
    <row r="8" spans="1:14" ht="12.75">
      <c r="A8" s="75" t="s">
        <v>3</v>
      </c>
      <c r="B8" s="68"/>
      <c r="C8" s="68"/>
      <c r="D8" s="76"/>
      <c r="E8" s="77" t="s">
        <v>89</v>
      </c>
      <c r="F8" s="68"/>
      <c r="G8" s="78"/>
      <c r="H8" s="68"/>
      <c r="I8" s="76" t="s">
        <v>103</v>
      </c>
      <c r="J8" s="76"/>
      <c r="K8" s="68"/>
      <c r="L8" s="68"/>
      <c r="M8" s="74"/>
      <c r="N8" s="28"/>
    </row>
    <row r="9" spans="1:14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N9" s="28"/>
    </row>
    <row r="10" spans="1:14" ht="12.75">
      <c r="A10" s="1" t="s">
        <v>4</v>
      </c>
      <c r="B10" s="9" t="s">
        <v>27</v>
      </c>
      <c r="C10" s="9" t="s">
        <v>28</v>
      </c>
      <c r="D10" s="9" t="s">
        <v>57</v>
      </c>
      <c r="E10" s="9" t="s">
        <v>90</v>
      </c>
      <c r="F10" s="14" t="s">
        <v>94</v>
      </c>
      <c r="G10" s="17" t="s">
        <v>95</v>
      </c>
      <c r="H10" s="82" t="s">
        <v>97</v>
      </c>
      <c r="I10" s="83"/>
      <c r="J10" s="84"/>
      <c r="K10" s="82" t="s">
        <v>106</v>
      </c>
      <c r="L10" s="84"/>
      <c r="M10" s="24" t="s">
        <v>107</v>
      </c>
      <c r="N10" s="29"/>
    </row>
    <row r="11" spans="1:24" ht="12.75">
      <c r="A11" s="2" t="s">
        <v>5</v>
      </c>
      <c r="B11" s="10" t="s">
        <v>5</v>
      </c>
      <c r="C11" s="10" t="s">
        <v>5</v>
      </c>
      <c r="D11" s="13" t="s">
        <v>58</v>
      </c>
      <c r="E11" s="10" t="s">
        <v>5</v>
      </c>
      <c r="F11" s="10" t="s">
        <v>5</v>
      </c>
      <c r="G11" s="18" t="s">
        <v>96</v>
      </c>
      <c r="H11" s="19" t="s">
        <v>98</v>
      </c>
      <c r="I11" s="20" t="s">
        <v>104</v>
      </c>
      <c r="J11" s="21" t="s">
        <v>105</v>
      </c>
      <c r="K11" s="19" t="s">
        <v>95</v>
      </c>
      <c r="L11" s="21" t="s">
        <v>105</v>
      </c>
      <c r="M11" s="25" t="s">
        <v>108</v>
      </c>
      <c r="N11" s="29"/>
      <c r="P11" s="23" t="s">
        <v>110</v>
      </c>
      <c r="Q11" s="23" t="s">
        <v>111</v>
      </c>
      <c r="R11" s="23" t="s">
        <v>114</v>
      </c>
      <c r="S11" s="23" t="s">
        <v>115</v>
      </c>
      <c r="T11" s="23" t="s">
        <v>116</v>
      </c>
      <c r="U11" s="23" t="s">
        <v>117</v>
      </c>
      <c r="V11" s="23" t="s">
        <v>118</v>
      </c>
      <c r="W11" s="23" t="s">
        <v>119</v>
      </c>
      <c r="X11" s="23" t="s">
        <v>120</v>
      </c>
    </row>
    <row r="12" spans="1:37" ht="12.75">
      <c r="A12" s="3"/>
      <c r="B12" s="11"/>
      <c r="C12" s="11" t="s">
        <v>29</v>
      </c>
      <c r="D12" s="85" t="s">
        <v>59</v>
      </c>
      <c r="E12" s="86"/>
      <c r="F12" s="86"/>
      <c r="G12" s="86"/>
      <c r="H12" s="32">
        <f>SUM(H13:H18)</f>
        <v>0</v>
      </c>
      <c r="I12" s="32">
        <f>SUM(I13:I18)</f>
        <v>0</v>
      </c>
      <c r="J12" s="32">
        <f>H12+I12</f>
        <v>0</v>
      </c>
      <c r="K12" s="22"/>
      <c r="L12" s="32">
        <f>SUM(L13:L18)</f>
        <v>40.78595</v>
      </c>
      <c r="M12" s="22"/>
      <c r="P12" s="33">
        <f>IF(Q12="PR",J12,SUM(O13:O18))</f>
        <v>0</v>
      </c>
      <c r="Q12" s="23" t="s">
        <v>112</v>
      </c>
      <c r="R12" s="33">
        <f>IF(Q12="HS",H12,0)</f>
        <v>0</v>
      </c>
      <c r="S12" s="33">
        <f>IF(Q12="HS",I12-P12,0)</f>
        <v>0</v>
      </c>
      <c r="T12" s="33">
        <f>IF(Q12="PS",H12,0)</f>
        <v>0</v>
      </c>
      <c r="U12" s="33">
        <f>IF(Q12="PS",I12-P12,0)</f>
        <v>0</v>
      </c>
      <c r="V12" s="33">
        <f>IF(Q12="MP",H12,0)</f>
        <v>0</v>
      </c>
      <c r="W12" s="33">
        <f>IF(Q12="MP",I12-P12,0)</f>
        <v>0</v>
      </c>
      <c r="X12" s="33">
        <f>IF(Q12="OM",H12,0)</f>
        <v>0</v>
      </c>
      <c r="Y12" s="23"/>
      <c r="AI12" s="33">
        <f>SUM(Z13:Z18)</f>
        <v>0</v>
      </c>
      <c r="AJ12" s="33">
        <f>SUM(AA13:AA18)</f>
        <v>0</v>
      </c>
      <c r="AK12" s="33">
        <f>SUM(AB13:AB18)</f>
        <v>0</v>
      </c>
    </row>
    <row r="13" spans="1:43" ht="12.75">
      <c r="A13" s="4" t="s">
        <v>6</v>
      </c>
      <c r="B13" s="4"/>
      <c r="C13" s="4" t="s">
        <v>30</v>
      </c>
      <c r="D13" s="4" t="s">
        <v>60</v>
      </c>
      <c r="E13" s="4" t="s">
        <v>91</v>
      </c>
      <c r="F13" s="15">
        <v>142</v>
      </c>
      <c r="G13" s="15">
        <v>0</v>
      </c>
      <c r="H13" s="15">
        <f aca="true" t="shared" si="0" ref="H13:H18">F13*AE13</f>
        <v>0</v>
      </c>
      <c r="I13" s="15">
        <f aca="true" t="shared" si="1" ref="I13:I18">J13-H13</f>
        <v>0</v>
      </c>
      <c r="J13" s="15">
        <f aca="true" t="shared" si="2" ref="J13:J18">F13*G13</f>
        <v>0</v>
      </c>
      <c r="K13" s="15">
        <v>0.00645</v>
      </c>
      <c r="L13" s="15">
        <f aca="true" t="shared" si="3" ref="L13:L18">F13*K13</f>
        <v>0.9159</v>
      </c>
      <c r="M13" s="26" t="s">
        <v>109</v>
      </c>
      <c r="N13" s="26" t="s">
        <v>6</v>
      </c>
      <c r="O13" s="15">
        <f aca="true" t="shared" si="4" ref="O13:O18">IF(N13="5",I13,0)</f>
        <v>0</v>
      </c>
      <c r="Z13" s="15">
        <f aca="true" t="shared" si="5" ref="Z13:Z18">IF(AD13=0,J13,0)</f>
        <v>0</v>
      </c>
      <c r="AA13" s="15">
        <f aca="true" t="shared" si="6" ref="AA13:AA18">IF(AD13=15,J13,0)</f>
        <v>0</v>
      </c>
      <c r="AB13" s="15">
        <f aca="true" t="shared" si="7" ref="AB13:AB18">IF(AD13=21,J13,0)</f>
        <v>0</v>
      </c>
      <c r="AD13" s="30">
        <v>15</v>
      </c>
      <c r="AE13" s="30">
        <f>G13*0.185390428211587</f>
        <v>0</v>
      </c>
      <c r="AF13" s="30">
        <f>G13*(1-0.185390428211587)</f>
        <v>0</v>
      </c>
      <c r="AM13" s="30">
        <f aca="true" t="shared" si="8" ref="AM13:AM18">F13*AE13</f>
        <v>0</v>
      </c>
      <c r="AN13" s="30">
        <f aca="true" t="shared" si="9" ref="AN13:AN18">F13*AF13</f>
        <v>0</v>
      </c>
      <c r="AO13" s="31" t="s">
        <v>121</v>
      </c>
      <c r="AP13" s="31" t="s">
        <v>128</v>
      </c>
      <c r="AQ13" s="23" t="s">
        <v>131</v>
      </c>
    </row>
    <row r="14" spans="1:43" ht="12.75">
      <c r="A14" s="4" t="s">
        <v>7</v>
      </c>
      <c r="B14" s="4"/>
      <c r="C14" s="4" t="s">
        <v>31</v>
      </c>
      <c r="D14" s="4" t="s">
        <v>61</v>
      </c>
      <c r="E14" s="4" t="s">
        <v>91</v>
      </c>
      <c r="F14" s="15">
        <v>325</v>
      </c>
      <c r="G14" s="15">
        <v>0</v>
      </c>
      <c r="H14" s="15">
        <f t="shared" si="0"/>
        <v>0</v>
      </c>
      <c r="I14" s="15">
        <f t="shared" si="1"/>
        <v>0</v>
      </c>
      <c r="J14" s="15">
        <f t="shared" si="2"/>
        <v>0</v>
      </c>
      <c r="K14" s="15">
        <v>0.03154</v>
      </c>
      <c r="L14" s="15">
        <f t="shared" si="3"/>
        <v>10.250499999999999</v>
      </c>
      <c r="M14" s="26" t="s">
        <v>109</v>
      </c>
      <c r="N14" s="26" t="s">
        <v>6</v>
      </c>
      <c r="O14" s="15">
        <f t="shared" si="4"/>
        <v>0</v>
      </c>
      <c r="Z14" s="15">
        <f t="shared" si="5"/>
        <v>0</v>
      </c>
      <c r="AA14" s="15">
        <f t="shared" si="6"/>
        <v>0</v>
      </c>
      <c r="AB14" s="15">
        <f t="shared" si="7"/>
        <v>0</v>
      </c>
      <c r="AD14" s="30">
        <v>15</v>
      </c>
      <c r="AE14" s="30">
        <f>G14*0.1957421875</f>
        <v>0</v>
      </c>
      <c r="AF14" s="30">
        <f>G14*(1-0.1957421875)</f>
        <v>0</v>
      </c>
      <c r="AM14" s="30">
        <f t="shared" si="8"/>
        <v>0</v>
      </c>
      <c r="AN14" s="30">
        <f t="shared" si="9"/>
        <v>0</v>
      </c>
      <c r="AO14" s="31" t="s">
        <v>121</v>
      </c>
      <c r="AP14" s="31" t="s">
        <v>128</v>
      </c>
      <c r="AQ14" s="23" t="s">
        <v>131</v>
      </c>
    </row>
    <row r="15" spans="1:43" ht="12.75">
      <c r="A15" s="4" t="s">
        <v>8</v>
      </c>
      <c r="B15" s="4"/>
      <c r="C15" s="4" t="s">
        <v>32</v>
      </c>
      <c r="D15" s="4" t="s">
        <v>62</v>
      </c>
      <c r="E15" s="4" t="s">
        <v>91</v>
      </c>
      <c r="F15" s="15">
        <v>830</v>
      </c>
      <c r="G15" s="15">
        <v>0</v>
      </c>
      <c r="H15" s="15">
        <f t="shared" si="0"/>
        <v>0</v>
      </c>
      <c r="I15" s="15">
        <f t="shared" si="1"/>
        <v>0</v>
      </c>
      <c r="J15" s="15">
        <f t="shared" si="2"/>
        <v>0</v>
      </c>
      <c r="K15" s="15">
        <v>0.00361</v>
      </c>
      <c r="L15" s="15">
        <f t="shared" si="3"/>
        <v>2.9962999999999997</v>
      </c>
      <c r="M15" s="26" t="s">
        <v>109</v>
      </c>
      <c r="N15" s="26" t="s">
        <v>6</v>
      </c>
      <c r="O15" s="15">
        <f t="shared" si="4"/>
        <v>0</v>
      </c>
      <c r="Z15" s="15">
        <f t="shared" si="5"/>
        <v>0</v>
      </c>
      <c r="AA15" s="15">
        <f t="shared" si="6"/>
        <v>0</v>
      </c>
      <c r="AB15" s="15">
        <f t="shared" si="7"/>
        <v>0</v>
      </c>
      <c r="AD15" s="30">
        <v>15</v>
      </c>
      <c r="AE15" s="30">
        <f>G15*0.33881664838895</f>
        <v>0</v>
      </c>
      <c r="AF15" s="30">
        <f>G15*(1-0.33881664838895)</f>
        <v>0</v>
      </c>
      <c r="AM15" s="30">
        <f t="shared" si="8"/>
        <v>0</v>
      </c>
      <c r="AN15" s="30">
        <f t="shared" si="9"/>
        <v>0</v>
      </c>
      <c r="AO15" s="31" t="s">
        <v>121</v>
      </c>
      <c r="AP15" s="31" t="s">
        <v>128</v>
      </c>
      <c r="AQ15" s="23" t="s">
        <v>131</v>
      </c>
    </row>
    <row r="16" spans="1:43" ht="12.75">
      <c r="A16" s="4" t="s">
        <v>9</v>
      </c>
      <c r="B16" s="4"/>
      <c r="C16" s="4" t="s">
        <v>33</v>
      </c>
      <c r="D16" s="4" t="s">
        <v>63</v>
      </c>
      <c r="E16" s="4" t="s">
        <v>91</v>
      </c>
      <c r="F16" s="15">
        <v>145</v>
      </c>
      <c r="G16" s="15">
        <v>0</v>
      </c>
      <c r="H16" s="15">
        <f t="shared" si="0"/>
        <v>0</v>
      </c>
      <c r="I16" s="15">
        <f t="shared" si="1"/>
        <v>0</v>
      </c>
      <c r="J16" s="15">
        <f t="shared" si="2"/>
        <v>0</v>
      </c>
      <c r="K16" s="15">
        <v>0.00355</v>
      </c>
      <c r="L16" s="15">
        <f t="shared" si="3"/>
        <v>0.51475</v>
      </c>
      <c r="M16" s="26" t="s">
        <v>109</v>
      </c>
      <c r="N16" s="26" t="s">
        <v>6</v>
      </c>
      <c r="O16" s="15">
        <f t="shared" si="4"/>
        <v>0</v>
      </c>
      <c r="Z16" s="15">
        <f t="shared" si="5"/>
        <v>0</v>
      </c>
      <c r="AA16" s="15">
        <f t="shared" si="6"/>
        <v>0</v>
      </c>
      <c r="AB16" s="15">
        <f t="shared" si="7"/>
        <v>0</v>
      </c>
      <c r="AD16" s="30">
        <v>15</v>
      </c>
      <c r="AE16" s="30">
        <f>G16*0.152232843486945</f>
        <v>0</v>
      </c>
      <c r="AF16" s="30">
        <f>G16*(1-0.152232843486945)</f>
        <v>0</v>
      </c>
      <c r="AM16" s="30">
        <f t="shared" si="8"/>
        <v>0</v>
      </c>
      <c r="AN16" s="30">
        <f t="shared" si="9"/>
        <v>0</v>
      </c>
      <c r="AO16" s="31" t="s">
        <v>121</v>
      </c>
      <c r="AP16" s="31" t="s">
        <v>128</v>
      </c>
      <c r="AQ16" s="23" t="s">
        <v>131</v>
      </c>
    </row>
    <row r="17" spans="1:43" ht="12.75">
      <c r="A17" s="4" t="s">
        <v>10</v>
      </c>
      <c r="B17" s="4"/>
      <c r="C17" s="4" t="s">
        <v>34</v>
      </c>
      <c r="D17" s="4" t="s">
        <v>64</v>
      </c>
      <c r="E17" s="4" t="s">
        <v>91</v>
      </c>
      <c r="F17" s="15">
        <v>505</v>
      </c>
      <c r="G17" s="15">
        <v>0</v>
      </c>
      <c r="H17" s="15">
        <f t="shared" si="0"/>
        <v>0</v>
      </c>
      <c r="I17" s="15">
        <f t="shared" si="1"/>
        <v>0</v>
      </c>
      <c r="J17" s="15">
        <f t="shared" si="2"/>
        <v>0</v>
      </c>
      <c r="K17" s="15">
        <v>0.02846</v>
      </c>
      <c r="L17" s="15">
        <f t="shared" si="3"/>
        <v>14.3723</v>
      </c>
      <c r="M17" s="26" t="s">
        <v>109</v>
      </c>
      <c r="N17" s="26" t="s">
        <v>6</v>
      </c>
      <c r="O17" s="15">
        <f t="shared" si="4"/>
        <v>0</v>
      </c>
      <c r="Z17" s="15">
        <f t="shared" si="5"/>
        <v>0</v>
      </c>
      <c r="AA17" s="15">
        <f t="shared" si="6"/>
        <v>0</v>
      </c>
      <c r="AB17" s="15">
        <f t="shared" si="7"/>
        <v>0</v>
      </c>
      <c r="AD17" s="30">
        <v>15</v>
      </c>
      <c r="AE17" s="30">
        <f>G17*0.161353065539112</f>
        <v>0</v>
      </c>
      <c r="AF17" s="30">
        <f>G17*(1-0.161353065539112)</f>
        <v>0</v>
      </c>
      <c r="AM17" s="30">
        <f t="shared" si="8"/>
        <v>0</v>
      </c>
      <c r="AN17" s="30">
        <f t="shared" si="9"/>
        <v>0</v>
      </c>
      <c r="AO17" s="31" t="s">
        <v>121</v>
      </c>
      <c r="AP17" s="31" t="s">
        <v>128</v>
      </c>
      <c r="AQ17" s="23" t="s">
        <v>131</v>
      </c>
    </row>
    <row r="18" spans="1:43" ht="12.75">
      <c r="A18" s="4" t="s">
        <v>11</v>
      </c>
      <c r="B18" s="4"/>
      <c r="C18" s="4" t="s">
        <v>35</v>
      </c>
      <c r="D18" s="4" t="s">
        <v>65</v>
      </c>
      <c r="E18" s="4" t="s">
        <v>91</v>
      </c>
      <c r="F18" s="15">
        <v>830</v>
      </c>
      <c r="G18" s="15">
        <v>0</v>
      </c>
      <c r="H18" s="15">
        <f t="shared" si="0"/>
        <v>0</v>
      </c>
      <c r="I18" s="15">
        <f t="shared" si="1"/>
        <v>0</v>
      </c>
      <c r="J18" s="15">
        <f t="shared" si="2"/>
        <v>0</v>
      </c>
      <c r="K18" s="15">
        <v>0.01414</v>
      </c>
      <c r="L18" s="15">
        <f t="shared" si="3"/>
        <v>11.7362</v>
      </c>
      <c r="M18" s="26" t="s">
        <v>109</v>
      </c>
      <c r="N18" s="26" t="s">
        <v>6</v>
      </c>
      <c r="O18" s="15">
        <f t="shared" si="4"/>
        <v>0</v>
      </c>
      <c r="Z18" s="15">
        <f t="shared" si="5"/>
        <v>0</v>
      </c>
      <c r="AA18" s="15">
        <f t="shared" si="6"/>
        <v>0</v>
      </c>
      <c r="AB18" s="15">
        <f t="shared" si="7"/>
        <v>0</v>
      </c>
      <c r="AD18" s="30">
        <v>15</v>
      </c>
      <c r="AE18" s="30">
        <f>G18*0.194330518697226</f>
        <v>0</v>
      </c>
      <c r="AF18" s="30">
        <f>G18*(1-0.194330518697226)</f>
        <v>0</v>
      </c>
      <c r="AM18" s="30">
        <f t="shared" si="8"/>
        <v>0</v>
      </c>
      <c r="AN18" s="30">
        <f t="shared" si="9"/>
        <v>0</v>
      </c>
      <c r="AO18" s="31" t="s">
        <v>121</v>
      </c>
      <c r="AP18" s="31" t="s">
        <v>128</v>
      </c>
      <c r="AQ18" s="23" t="s">
        <v>131</v>
      </c>
    </row>
    <row r="19" spans="1:37" ht="12.75">
      <c r="A19" s="5"/>
      <c r="B19" s="12"/>
      <c r="C19" s="12" t="s">
        <v>36</v>
      </c>
      <c r="D19" s="87" t="s">
        <v>66</v>
      </c>
      <c r="E19" s="88"/>
      <c r="F19" s="88"/>
      <c r="G19" s="88"/>
      <c r="H19" s="33">
        <f>SUM(H20:H22)</f>
        <v>0</v>
      </c>
      <c r="I19" s="33">
        <f>SUM(I20:I22)</f>
        <v>0</v>
      </c>
      <c r="J19" s="33">
        <f>H19+I19</f>
        <v>0</v>
      </c>
      <c r="K19" s="23"/>
      <c r="L19" s="33">
        <f>SUM(L20:L22)</f>
        <v>1.0803600000000002</v>
      </c>
      <c r="M19" s="23"/>
      <c r="P19" s="33">
        <f>IF(Q19="PR",J19,SUM(O20:O22))</f>
        <v>0</v>
      </c>
      <c r="Q19" s="23" t="s">
        <v>113</v>
      </c>
      <c r="R19" s="33">
        <f>IF(Q19="HS",H19,0)</f>
        <v>0</v>
      </c>
      <c r="S19" s="33">
        <f>IF(Q19="HS",I19-P19,0)</f>
        <v>0</v>
      </c>
      <c r="T19" s="33">
        <f>IF(Q19="PS",H19,0)</f>
        <v>0</v>
      </c>
      <c r="U19" s="33">
        <f>IF(Q19="PS",I19-P19,0)</f>
        <v>0</v>
      </c>
      <c r="V19" s="33">
        <f>IF(Q19="MP",H19,0)</f>
        <v>0</v>
      </c>
      <c r="W19" s="33">
        <f>IF(Q19="MP",I19-P19,0)</f>
        <v>0</v>
      </c>
      <c r="X19" s="33">
        <f>IF(Q19="OM",H19,0)</f>
        <v>0</v>
      </c>
      <c r="Y19" s="23"/>
      <c r="AI19" s="33">
        <f>SUM(Z20:Z22)</f>
        <v>0</v>
      </c>
      <c r="AJ19" s="33">
        <f>SUM(AA20:AA22)</f>
        <v>0</v>
      </c>
      <c r="AK19" s="33">
        <f>SUM(AB20:AB22)</f>
        <v>0</v>
      </c>
    </row>
    <row r="20" spans="1:43" ht="12.75">
      <c r="A20" s="4" t="s">
        <v>12</v>
      </c>
      <c r="B20" s="4"/>
      <c r="C20" s="4" t="s">
        <v>37</v>
      </c>
      <c r="D20" s="4" t="s">
        <v>67</v>
      </c>
      <c r="E20" s="4" t="s">
        <v>91</v>
      </c>
      <c r="F20" s="15">
        <v>813</v>
      </c>
      <c r="G20" s="15">
        <v>0</v>
      </c>
      <c r="H20" s="15">
        <f>F20*AE20</f>
        <v>0</v>
      </c>
      <c r="I20" s="15">
        <f>J20-H20</f>
        <v>0</v>
      </c>
      <c r="J20" s="15">
        <f>F20*G20</f>
        <v>0</v>
      </c>
      <c r="K20" s="15">
        <v>0.00024</v>
      </c>
      <c r="L20" s="15">
        <f>F20*K20</f>
        <v>0.19512000000000002</v>
      </c>
      <c r="M20" s="26" t="s">
        <v>109</v>
      </c>
      <c r="N20" s="26" t="s">
        <v>6</v>
      </c>
      <c r="O20" s="15">
        <f>IF(N20="5",I20,0)</f>
        <v>0</v>
      </c>
      <c r="Z20" s="15">
        <f>IF(AD20=0,J20,0)</f>
        <v>0</v>
      </c>
      <c r="AA20" s="15">
        <f>IF(AD20=15,J20,0)</f>
        <v>0</v>
      </c>
      <c r="AB20" s="15">
        <f>IF(AD20=21,J20,0)</f>
        <v>0</v>
      </c>
      <c r="AD20" s="30">
        <v>15</v>
      </c>
      <c r="AE20" s="30">
        <f>G20*0.209032258064516</f>
        <v>0</v>
      </c>
      <c r="AF20" s="30">
        <f>G20*(1-0.209032258064516)</f>
        <v>0</v>
      </c>
      <c r="AM20" s="30">
        <f>F20*AE20</f>
        <v>0</v>
      </c>
      <c r="AN20" s="30">
        <f>F20*AF20</f>
        <v>0</v>
      </c>
      <c r="AO20" s="31" t="s">
        <v>122</v>
      </c>
      <c r="AP20" s="31" t="s">
        <v>129</v>
      </c>
      <c r="AQ20" s="23" t="s">
        <v>131</v>
      </c>
    </row>
    <row r="21" spans="1:43" ht="12.75">
      <c r="A21" s="4" t="s">
        <v>13</v>
      </c>
      <c r="B21" s="4"/>
      <c r="C21" s="4" t="s">
        <v>38</v>
      </c>
      <c r="D21" s="4" t="s">
        <v>68</v>
      </c>
      <c r="E21" s="4" t="s">
        <v>91</v>
      </c>
      <c r="F21" s="15">
        <v>2610</v>
      </c>
      <c r="G21" s="15">
        <v>0</v>
      </c>
      <c r="H21" s="15">
        <f>F21*AE21</f>
        <v>0</v>
      </c>
      <c r="I21" s="15">
        <f>J21-H21</f>
        <v>0</v>
      </c>
      <c r="J21" s="15">
        <f>F21*G21</f>
        <v>0</v>
      </c>
      <c r="K21" s="15">
        <v>5E-05</v>
      </c>
      <c r="L21" s="15">
        <f>F21*K21</f>
        <v>0.1305</v>
      </c>
      <c r="M21" s="26" t="s">
        <v>109</v>
      </c>
      <c r="N21" s="26" t="s">
        <v>6</v>
      </c>
      <c r="O21" s="15">
        <f>IF(N21="5",I21,0)</f>
        <v>0</v>
      </c>
      <c r="Z21" s="15">
        <f>IF(AD21=0,J21,0)</f>
        <v>0</v>
      </c>
      <c r="AA21" s="15">
        <f>IF(AD21=15,J21,0)</f>
        <v>0</v>
      </c>
      <c r="AB21" s="15">
        <f>IF(AD21=21,J21,0)</f>
        <v>0</v>
      </c>
      <c r="AD21" s="30">
        <v>15</v>
      </c>
      <c r="AE21" s="30">
        <f>G21*0.146638433033351</f>
        <v>0</v>
      </c>
      <c r="AF21" s="30">
        <f>G21*(1-0.146638433033351)</f>
        <v>0</v>
      </c>
      <c r="AM21" s="30">
        <f>F21*AE21</f>
        <v>0</v>
      </c>
      <c r="AN21" s="30">
        <f>F21*AF21</f>
        <v>0</v>
      </c>
      <c r="AO21" s="31" t="s">
        <v>122</v>
      </c>
      <c r="AP21" s="31" t="s">
        <v>129</v>
      </c>
      <c r="AQ21" s="23" t="s">
        <v>131</v>
      </c>
    </row>
    <row r="22" spans="1:43" ht="12.75">
      <c r="A22" s="4" t="s">
        <v>14</v>
      </c>
      <c r="B22" s="4"/>
      <c r="C22" s="4" t="s">
        <v>39</v>
      </c>
      <c r="D22" s="4" t="s">
        <v>69</v>
      </c>
      <c r="E22" s="4" t="s">
        <v>91</v>
      </c>
      <c r="F22" s="15">
        <v>1797</v>
      </c>
      <c r="G22" s="15">
        <v>0</v>
      </c>
      <c r="H22" s="15">
        <f>F22*AE22</f>
        <v>0</v>
      </c>
      <c r="I22" s="15">
        <f>J22-H22</f>
        <v>0</v>
      </c>
      <c r="J22" s="15">
        <f>F22*G22</f>
        <v>0</v>
      </c>
      <c r="K22" s="15">
        <v>0.00042</v>
      </c>
      <c r="L22" s="15">
        <f>F22*K22</f>
        <v>0.7547400000000001</v>
      </c>
      <c r="M22" s="26" t="s">
        <v>109</v>
      </c>
      <c r="N22" s="26" t="s">
        <v>6</v>
      </c>
      <c r="O22" s="15">
        <f>IF(N22="5",I22,0)</f>
        <v>0</v>
      </c>
      <c r="Z22" s="15">
        <f>IF(AD22=0,J22,0)</f>
        <v>0</v>
      </c>
      <c r="AA22" s="15">
        <f>IF(AD22=15,J22,0)</f>
        <v>0</v>
      </c>
      <c r="AB22" s="15">
        <f>IF(AD22=21,J22,0)</f>
        <v>0</v>
      </c>
      <c r="AD22" s="30">
        <v>15</v>
      </c>
      <c r="AE22" s="30">
        <f>G22*0.383550724637681</f>
        <v>0</v>
      </c>
      <c r="AF22" s="30">
        <f>G22*(1-0.383550724637681)</f>
        <v>0</v>
      </c>
      <c r="AM22" s="30">
        <f>F22*AE22</f>
        <v>0</v>
      </c>
      <c r="AN22" s="30">
        <f>F22*AF22</f>
        <v>0</v>
      </c>
      <c r="AO22" s="31" t="s">
        <v>122</v>
      </c>
      <c r="AP22" s="31" t="s">
        <v>129</v>
      </c>
      <c r="AQ22" s="23" t="s">
        <v>131</v>
      </c>
    </row>
    <row r="23" spans="1:37" ht="12.75">
      <c r="A23" s="5"/>
      <c r="B23" s="12"/>
      <c r="C23" s="12" t="s">
        <v>40</v>
      </c>
      <c r="D23" s="87" t="s">
        <v>70</v>
      </c>
      <c r="E23" s="88"/>
      <c r="F23" s="88"/>
      <c r="G23" s="88"/>
      <c r="H23" s="33">
        <f>SUM(H24:H27)</f>
        <v>0</v>
      </c>
      <c r="I23" s="33">
        <f>SUM(I24:I27)</f>
        <v>0</v>
      </c>
      <c r="J23" s="33">
        <f>H23+I23</f>
        <v>0</v>
      </c>
      <c r="K23" s="23"/>
      <c r="L23" s="33">
        <f>SUM(L24:L27)</f>
        <v>1.5869000000000002</v>
      </c>
      <c r="M23" s="23"/>
      <c r="P23" s="33">
        <f>IF(Q23="PR",J23,SUM(O24:O27))</f>
        <v>0</v>
      </c>
      <c r="Q23" s="23" t="s">
        <v>113</v>
      </c>
      <c r="R23" s="33">
        <f>IF(Q23="HS",H23,0)</f>
        <v>0</v>
      </c>
      <c r="S23" s="33">
        <f>IF(Q23="HS",I23-P23,0)</f>
        <v>0</v>
      </c>
      <c r="T23" s="33">
        <f>IF(Q23="PS",H23,0)</f>
        <v>0</v>
      </c>
      <c r="U23" s="33">
        <f>IF(Q23="PS",I23-P23,0)</f>
        <v>0</v>
      </c>
      <c r="V23" s="33">
        <f>IF(Q23="MP",H23,0)</f>
        <v>0</v>
      </c>
      <c r="W23" s="33">
        <f>IF(Q23="MP",I23-P23,0)</f>
        <v>0</v>
      </c>
      <c r="X23" s="33">
        <f>IF(Q23="OM",H23,0)</f>
        <v>0</v>
      </c>
      <c r="Y23" s="23"/>
      <c r="AI23" s="33">
        <f>SUM(Z24:Z27)</f>
        <v>0</v>
      </c>
      <c r="AJ23" s="33">
        <f>SUM(AA24:AA27)</f>
        <v>0</v>
      </c>
      <c r="AK23" s="33">
        <f>SUM(AB24:AB27)</f>
        <v>0</v>
      </c>
    </row>
    <row r="24" spans="1:43" ht="12.75">
      <c r="A24" s="4" t="s">
        <v>15</v>
      </c>
      <c r="B24" s="4"/>
      <c r="C24" s="4" t="s">
        <v>41</v>
      </c>
      <c r="D24" s="4" t="s">
        <v>71</v>
      </c>
      <c r="E24" s="4" t="s">
        <v>91</v>
      </c>
      <c r="F24" s="15">
        <v>4534</v>
      </c>
      <c r="G24" s="15">
        <v>0</v>
      </c>
      <c r="H24" s="15">
        <f>F24*AE24</f>
        <v>0</v>
      </c>
      <c r="I24" s="15">
        <f>J24-H24</f>
        <v>0</v>
      </c>
      <c r="J24" s="15">
        <f>F24*G24</f>
        <v>0</v>
      </c>
      <c r="K24" s="15">
        <v>0</v>
      </c>
      <c r="L24" s="15">
        <f>F24*K24</f>
        <v>0</v>
      </c>
      <c r="M24" s="26" t="s">
        <v>109</v>
      </c>
      <c r="N24" s="26" t="s">
        <v>6</v>
      </c>
      <c r="O24" s="15">
        <f>IF(N24="5",I24,0)</f>
        <v>0</v>
      </c>
      <c r="Z24" s="15">
        <f>IF(AD24=0,J24,0)</f>
        <v>0</v>
      </c>
      <c r="AA24" s="15">
        <f>IF(AD24=15,J24,0)</f>
        <v>0</v>
      </c>
      <c r="AB24" s="15">
        <f>IF(AD24=21,J24,0)</f>
        <v>0</v>
      </c>
      <c r="AD24" s="30">
        <v>15</v>
      </c>
      <c r="AE24" s="30">
        <f>G24*0.0140625</f>
        <v>0</v>
      </c>
      <c r="AF24" s="30">
        <f>G24*(1-0.0140625)</f>
        <v>0</v>
      </c>
      <c r="AM24" s="30">
        <f>F24*AE24</f>
        <v>0</v>
      </c>
      <c r="AN24" s="30">
        <f>F24*AF24</f>
        <v>0</v>
      </c>
      <c r="AO24" s="31" t="s">
        <v>123</v>
      </c>
      <c r="AP24" s="31" t="s">
        <v>129</v>
      </c>
      <c r="AQ24" s="23" t="s">
        <v>131</v>
      </c>
    </row>
    <row r="25" spans="1:43" ht="12.75">
      <c r="A25" s="4" t="s">
        <v>16</v>
      </c>
      <c r="B25" s="4"/>
      <c r="C25" s="4" t="s">
        <v>42</v>
      </c>
      <c r="D25" s="4" t="s">
        <v>72</v>
      </c>
      <c r="E25" s="4" t="s">
        <v>91</v>
      </c>
      <c r="F25" s="15">
        <v>2069</v>
      </c>
      <c r="G25" s="15">
        <v>0</v>
      </c>
      <c r="H25" s="15">
        <f>F25*AE25</f>
        <v>0</v>
      </c>
      <c r="I25" s="15">
        <f>J25-H25</f>
        <v>0</v>
      </c>
      <c r="J25" s="15">
        <f>F25*G25</f>
        <v>0</v>
      </c>
      <c r="K25" s="15">
        <v>0.00032</v>
      </c>
      <c r="L25" s="15">
        <f>F25*K25</f>
        <v>0.66208</v>
      </c>
      <c r="M25" s="26" t="s">
        <v>109</v>
      </c>
      <c r="N25" s="26" t="s">
        <v>8</v>
      </c>
      <c r="O25" s="15">
        <f>IF(N25="5",I25,0)</f>
        <v>0</v>
      </c>
      <c r="Z25" s="15">
        <f>IF(AD25=0,J25,0)</f>
        <v>0</v>
      </c>
      <c r="AA25" s="15">
        <f>IF(AD25=15,J25,0)</f>
        <v>0</v>
      </c>
      <c r="AB25" s="15">
        <f>IF(AD25=21,J25,0)</f>
        <v>0</v>
      </c>
      <c r="AD25" s="30">
        <v>15</v>
      </c>
      <c r="AE25" s="30">
        <f>G25*0.283776911340905</f>
        <v>0</v>
      </c>
      <c r="AF25" s="30">
        <f>G25*(1-0.283776911340905)</f>
        <v>0</v>
      </c>
      <c r="AM25" s="30">
        <f>F25*AE25</f>
        <v>0</v>
      </c>
      <c r="AN25" s="30">
        <f>F25*AF25</f>
        <v>0</v>
      </c>
      <c r="AO25" s="31" t="s">
        <v>123</v>
      </c>
      <c r="AP25" s="31" t="s">
        <v>129</v>
      </c>
      <c r="AQ25" s="23" t="s">
        <v>131</v>
      </c>
    </row>
    <row r="26" spans="1:43" ht="12.75">
      <c r="A26" s="4" t="s">
        <v>17</v>
      </c>
      <c r="B26" s="4"/>
      <c r="C26" s="4" t="s">
        <v>42</v>
      </c>
      <c r="D26" s="4" t="s">
        <v>73</v>
      </c>
      <c r="E26" s="4" t="s">
        <v>91</v>
      </c>
      <c r="F26" s="15">
        <v>2465</v>
      </c>
      <c r="G26" s="15">
        <v>0</v>
      </c>
      <c r="H26" s="15">
        <f>F26*AE26</f>
        <v>0</v>
      </c>
      <c r="I26" s="15">
        <f>J26-H26</f>
        <v>0</v>
      </c>
      <c r="J26" s="15">
        <f>F26*G26</f>
        <v>0</v>
      </c>
      <c r="K26" s="15">
        <v>0.00032</v>
      </c>
      <c r="L26" s="15">
        <f>F26*K26</f>
        <v>0.7888000000000001</v>
      </c>
      <c r="M26" s="26" t="s">
        <v>109</v>
      </c>
      <c r="N26" s="26" t="s">
        <v>8</v>
      </c>
      <c r="O26" s="15">
        <f>IF(N26="5",I26,0)</f>
        <v>0</v>
      </c>
      <c r="Z26" s="15">
        <f>IF(AD26=0,J26,0)</f>
        <v>0</v>
      </c>
      <c r="AA26" s="15">
        <f>IF(AD26=15,J26,0)</f>
        <v>0</v>
      </c>
      <c r="AB26" s="15">
        <f>IF(AD26=21,J26,0)</f>
        <v>0</v>
      </c>
      <c r="AD26" s="30">
        <v>15</v>
      </c>
      <c r="AE26" s="30">
        <f>G26*0.283776911340905</f>
        <v>0</v>
      </c>
      <c r="AF26" s="30">
        <f>G26*(1-0.283776911340905)</f>
        <v>0</v>
      </c>
      <c r="AM26" s="30">
        <f>F26*AE26</f>
        <v>0</v>
      </c>
      <c r="AN26" s="30">
        <f>F26*AF26</f>
        <v>0</v>
      </c>
      <c r="AO26" s="31" t="s">
        <v>123</v>
      </c>
      <c r="AP26" s="31" t="s">
        <v>129</v>
      </c>
      <c r="AQ26" s="23" t="s">
        <v>131</v>
      </c>
    </row>
    <row r="27" spans="1:43" ht="12.75">
      <c r="A27" s="4" t="s">
        <v>18</v>
      </c>
      <c r="B27" s="4"/>
      <c r="C27" s="4" t="s">
        <v>43</v>
      </c>
      <c r="D27" s="4" t="s">
        <v>74</v>
      </c>
      <c r="E27" s="4" t="s">
        <v>91</v>
      </c>
      <c r="F27" s="15">
        <v>4534</v>
      </c>
      <c r="G27" s="15">
        <v>0</v>
      </c>
      <c r="H27" s="15">
        <f>F27*AE27</f>
        <v>0</v>
      </c>
      <c r="I27" s="15">
        <f>J27-H27</f>
        <v>0</v>
      </c>
      <c r="J27" s="15">
        <f>F27*G27</f>
        <v>0</v>
      </c>
      <c r="K27" s="15">
        <v>3E-05</v>
      </c>
      <c r="L27" s="15">
        <f>F27*K27</f>
        <v>0.13602</v>
      </c>
      <c r="M27" s="26" t="s">
        <v>109</v>
      </c>
      <c r="N27" s="26" t="s">
        <v>6</v>
      </c>
      <c r="O27" s="15">
        <f>IF(N27="5",I27,0)</f>
        <v>0</v>
      </c>
      <c r="Z27" s="15">
        <f>IF(AD27=0,J27,0)</f>
        <v>0</v>
      </c>
      <c r="AA27" s="15">
        <f>IF(AD27=15,J27,0)</f>
        <v>0</v>
      </c>
      <c r="AB27" s="15">
        <f>IF(AD27=21,J27,0)</f>
        <v>0</v>
      </c>
      <c r="AD27" s="30">
        <v>15</v>
      </c>
      <c r="AE27" s="30">
        <f>G27*0.152272727272727</f>
        <v>0</v>
      </c>
      <c r="AF27" s="30">
        <f>G27*(1-0.152272727272727)</f>
        <v>0</v>
      </c>
      <c r="AM27" s="30">
        <f>F27*AE27</f>
        <v>0</v>
      </c>
      <c r="AN27" s="30">
        <f>F27*AF27</f>
        <v>0</v>
      </c>
      <c r="AO27" s="31" t="s">
        <v>123</v>
      </c>
      <c r="AP27" s="31" t="s">
        <v>129</v>
      </c>
      <c r="AQ27" s="23" t="s">
        <v>131</v>
      </c>
    </row>
    <row r="28" spans="1:37" ht="12.75">
      <c r="A28" s="5"/>
      <c r="B28" s="12"/>
      <c r="C28" s="12" t="s">
        <v>44</v>
      </c>
      <c r="D28" s="87" t="s">
        <v>75</v>
      </c>
      <c r="E28" s="88"/>
      <c r="F28" s="88"/>
      <c r="G28" s="88"/>
      <c r="H28" s="33">
        <f>SUM(H29:H29)</f>
        <v>0</v>
      </c>
      <c r="I28" s="33">
        <f>SUM(I29:I29)</f>
        <v>0</v>
      </c>
      <c r="J28" s="33">
        <f>H28+I28</f>
        <v>0</v>
      </c>
      <c r="K28" s="23"/>
      <c r="L28" s="33">
        <f>SUM(L29:L29)</f>
        <v>0</v>
      </c>
      <c r="M28" s="23"/>
      <c r="P28" s="33">
        <f>IF(Q28="PR",J28,SUM(O29:O29))</f>
        <v>0</v>
      </c>
      <c r="Q28" s="23" t="s">
        <v>112</v>
      </c>
      <c r="R28" s="33">
        <f>IF(Q28="HS",H28,0)</f>
        <v>0</v>
      </c>
      <c r="S28" s="33">
        <f>IF(Q28="HS",I28-P28,0)</f>
        <v>0</v>
      </c>
      <c r="T28" s="33">
        <f>IF(Q28="PS",H28,0)</f>
        <v>0</v>
      </c>
      <c r="U28" s="33">
        <f>IF(Q28="PS",I28-P28,0)</f>
        <v>0</v>
      </c>
      <c r="V28" s="33">
        <f>IF(Q28="MP",H28,0)</f>
        <v>0</v>
      </c>
      <c r="W28" s="33">
        <f>IF(Q28="MP",I28-P28,0)</f>
        <v>0</v>
      </c>
      <c r="X28" s="33">
        <f>IF(Q28="OM",H28,0)</f>
        <v>0</v>
      </c>
      <c r="Y28" s="23"/>
      <c r="AI28" s="33">
        <f>SUM(Z29:Z29)</f>
        <v>0</v>
      </c>
      <c r="AJ28" s="33">
        <f>SUM(AA29:AA29)</f>
        <v>0</v>
      </c>
      <c r="AK28" s="33">
        <f>SUM(AB29:AB29)</f>
        <v>0</v>
      </c>
    </row>
    <row r="29" spans="1:43" ht="12.75">
      <c r="A29" s="4" t="s">
        <v>19</v>
      </c>
      <c r="B29" s="4"/>
      <c r="C29" s="4" t="s">
        <v>45</v>
      </c>
      <c r="D29" s="4" t="s">
        <v>76</v>
      </c>
      <c r="E29" s="4" t="s">
        <v>92</v>
      </c>
      <c r="F29" s="15">
        <v>3</v>
      </c>
      <c r="G29" s="15">
        <v>0</v>
      </c>
      <c r="H29" s="15">
        <f>F29*AE29</f>
        <v>0</v>
      </c>
      <c r="I29" s="15">
        <f>J29-H29</f>
        <v>0</v>
      </c>
      <c r="J29" s="15">
        <f>F29*G29</f>
        <v>0</v>
      </c>
      <c r="K29" s="15">
        <v>0</v>
      </c>
      <c r="L29" s="15">
        <f>F29*K29</f>
        <v>0</v>
      </c>
      <c r="M29" s="26"/>
      <c r="N29" s="26" t="s">
        <v>6</v>
      </c>
      <c r="O29" s="15">
        <f>IF(N29="5",I29,0)</f>
        <v>0</v>
      </c>
      <c r="Z29" s="15">
        <f>IF(AD29=0,J29,0)</f>
        <v>0</v>
      </c>
      <c r="AA29" s="15">
        <f>IF(AD29=15,J29,0)</f>
        <v>0</v>
      </c>
      <c r="AB29" s="15">
        <f>IF(AD29=21,J29,0)</f>
        <v>0</v>
      </c>
      <c r="AD29" s="30">
        <v>15</v>
      </c>
      <c r="AE29" s="30">
        <f>G29*0</f>
        <v>0</v>
      </c>
      <c r="AF29" s="30">
        <f>G29*(1-0)</f>
        <v>0</v>
      </c>
      <c r="AM29" s="30">
        <f>F29*AE29</f>
        <v>0</v>
      </c>
      <c r="AN29" s="30">
        <f>F29*AF29</f>
        <v>0</v>
      </c>
      <c r="AO29" s="31" t="s">
        <v>124</v>
      </c>
      <c r="AP29" s="31" t="s">
        <v>130</v>
      </c>
      <c r="AQ29" s="23" t="s">
        <v>131</v>
      </c>
    </row>
    <row r="30" spans="1:37" ht="12.75">
      <c r="A30" s="5"/>
      <c r="B30" s="12"/>
      <c r="C30" s="12" t="s">
        <v>46</v>
      </c>
      <c r="D30" s="87" t="s">
        <v>77</v>
      </c>
      <c r="E30" s="88"/>
      <c r="F30" s="88"/>
      <c r="G30" s="88"/>
      <c r="H30" s="33">
        <f>SUM(H31:H31)</f>
        <v>0</v>
      </c>
      <c r="I30" s="33">
        <f>SUM(I31:I31)</f>
        <v>0</v>
      </c>
      <c r="J30" s="33">
        <f>H30+I30</f>
        <v>0</v>
      </c>
      <c r="K30" s="23"/>
      <c r="L30" s="33">
        <f>SUM(L31:L31)</f>
        <v>0</v>
      </c>
      <c r="M30" s="23"/>
      <c r="P30" s="33">
        <f>IF(Q30="PR",J30,SUM(O31:O31))</f>
        <v>0</v>
      </c>
      <c r="Q30" s="23" t="s">
        <v>112</v>
      </c>
      <c r="R30" s="33">
        <f>IF(Q30="HS",H30,0)</f>
        <v>0</v>
      </c>
      <c r="S30" s="33">
        <f>IF(Q30="HS",I30-P30,0)</f>
        <v>0</v>
      </c>
      <c r="T30" s="33">
        <f>IF(Q30="PS",H30,0)</f>
        <v>0</v>
      </c>
      <c r="U30" s="33">
        <f>IF(Q30="PS",I30-P30,0)</f>
        <v>0</v>
      </c>
      <c r="V30" s="33">
        <f>IF(Q30="MP",H30,0)</f>
        <v>0</v>
      </c>
      <c r="W30" s="33">
        <f>IF(Q30="MP",I30-P30,0)</f>
        <v>0</v>
      </c>
      <c r="X30" s="33">
        <f>IF(Q30="OM",H30,0)</f>
        <v>0</v>
      </c>
      <c r="Y30" s="23"/>
      <c r="AI30" s="33">
        <f>SUM(Z31:Z31)</f>
        <v>0</v>
      </c>
      <c r="AJ30" s="33">
        <f>SUM(AA31:AA31)</f>
        <v>0</v>
      </c>
      <c r="AK30" s="33">
        <f>SUM(AB31:AB31)</f>
        <v>0</v>
      </c>
    </row>
    <row r="31" spans="1:43" ht="12.75">
      <c r="A31" s="4" t="s">
        <v>20</v>
      </c>
      <c r="B31" s="4"/>
      <c r="C31" s="4" t="s">
        <v>47</v>
      </c>
      <c r="D31" s="4" t="s">
        <v>78</v>
      </c>
      <c r="E31" s="4" t="s">
        <v>92</v>
      </c>
      <c r="F31" s="15">
        <v>3</v>
      </c>
      <c r="G31" s="15">
        <v>0</v>
      </c>
      <c r="H31" s="15">
        <f>F31*AE31</f>
        <v>0</v>
      </c>
      <c r="I31" s="15">
        <f>J31-H31</f>
        <v>0</v>
      </c>
      <c r="J31" s="15">
        <f>F31*G31</f>
        <v>0</v>
      </c>
      <c r="K31" s="15">
        <v>0</v>
      </c>
      <c r="L31" s="15">
        <f>F31*K31</f>
        <v>0</v>
      </c>
      <c r="M31" s="26"/>
      <c r="N31" s="26" t="s">
        <v>6</v>
      </c>
      <c r="O31" s="15">
        <f>IF(N31="5",I31,0)</f>
        <v>0</v>
      </c>
      <c r="Z31" s="15">
        <f>IF(AD31=0,J31,0)</f>
        <v>0</v>
      </c>
      <c r="AA31" s="15">
        <f>IF(AD31=15,J31,0)</f>
        <v>0</v>
      </c>
      <c r="AB31" s="15">
        <f>IF(AD31=21,J31,0)</f>
        <v>0</v>
      </c>
      <c r="AD31" s="30">
        <v>15</v>
      </c>
      <c r="AE31" s="30">
        <f>G31*0</f>
        <v>0</v>
      </c>
      <c r="AF31" s="30">
        <f>G31*(1-0)</f>
        <v>0</v>
      </c>
      <c r="AM31" s="30">
        <f>F31*AE31</f>
        <v>0</v>
      </c>
      <c r="AN31" s="30">
        <f>F31*AF31</f>
        <v>0</v>
      </c>
      <c r="AO31" s="31" t="s">
        <v>125</v>
      </c>
      <c r="AP31" s="31" t="s">
        <v>130</v>
      </c>
      <c r="AQ31" s="23" t="s">
        <v>131</v>
      </c>
    </row>
    <row r="32" spans="1:37" ht="12.75">
      <c r="A32" s="5"/>
      <c r="B32" s="12"/>
      <c r="C32" s="12" t="s">
        <v>48</v>
      </c>
      <c r="D32" s="87" t="s">
        <v>79</v>
      </c>
      <c r="E32" s="88"/>
      <c r="F32" s="88"/>
      <c r="G32" s="88"/>
      <c r="H32" s="33">
        <f>SUM(H33:H33)</f>
        <v>0</v>
      </c>
      <c r="I32" s="33">
        <f>SUM(I33:I33)</f>
        <v>0</v>
      </c>
      <c r="J32" s="33">
        <f>H32+I32</f>
        <v>0</v>
      </c>
      <c r="K32" s="23"/>
      <c r="L32" s="33">
        <f>SUM(L33:L33)</f>
        <v>20.75</v>
      </c>
      <c r="M32" s="23"/>
      <c r="P32" s="33">
        <f>IF(Q32="PR",J32,SUM(O33:O33))</f>
        <v>0</v>
      </c>
      <c r="Q32" s="23" t="s">
        <v>112</v>
      </c>
      <c r="R32" s="33">
        <f>IF(Q32="HS",H32,0)</f>
        <v>0</v>
      </c>
      <c r="S32" s="33">
        <f>IF(Q32="HS",I32-P32,0)</f>
        <v>0</v>
      </c>
      <c r="T32" s="33">
        <f>IF(Q32="PS",H32,0)</f>
        <v>0</v>
      </c>
      <c r="U32" s="33">
        <f>IF(Q32="PS",I32-P32,0)</f>
        <v>0</v>
      </c>
      <c r="V32" s="33">
        <f>IF(Q32="MP",H32,0)</f>
        <v>0</v>
      </c>
      <c r="W32" s="33">
        <f>IF(Q32="MP",I32-P32,0)</f>
        <v>0</v>
      </c>
      <c r="X32" s="33">
        <f>IF(Q32="OM",H32,0)</f>
        <v>0</v>
      </c>
      <c r="Y32" s="23"/>
      <c r="AI32" s="33">
        <f>SUM(Z33:Z33)</f>
        <v>0</v>
      </c>
      <c r="AJ32" s="33">
        <f>SUM(AA33:AA33)</f>
        <v>0</v>
      </c>
      <c r="AK32" s="33">
        <f>SUM(AB33:AB33)</f>
        <v>0</v>
      </c>
    </row>
    <row r="33" spans="1:43" ht="12.75">
      <c r="A33" s="4" t="s">
        <v>21</v>
      </c>
      <c r="B33" s="4"/>
      <c r="C33" s="4" t="s">
        <v>49</v>
      </c>
      <c r="D33" s="4" t="s">
        <v>80</v>
      </c>
      <c r="E33" s="4" t="s">
        <v>91</v>
      </c>
      <c r="F33" s="15">
        <v>830</v>
      </c>
      <c r="G33" s="15">
        <v>0</v>
      </c>
      <c r="H33" s="15">
        <f>F33*AE33</f>
        <v>0</v>
      </c>
      <c r="I33" s="15">
        <f>J33-H33</f>
        <v>0</v>
      </c>
      <c r="J33" s="15">
        <f>F33*G33</f>
        <v>0</v>
      </c>
      <c r="K33" s="15">
        <v>0.025</v>
      </c>
      <c r="L33" s="15">
        <f>F33*K33</f>
        <v>20.75</v>
      </c>
      <c r="M33" s="26" t="s">
        <v>109</v>
      </c>
      <c r="N33" s="26" t="s">
        <v>6</v>
      </c>
      <c r="O33" s="15">
        <f>IF(N33="5",I33,0)</f>
        <v>0</v>
      </c>
      <c r="Z33" s="15">
        <f>IF(AD33=0,J33,0)</f>
        <v>0</v>
      </c>
      <c r="AA33" s="15">
        <f>IF(AD33=15,J33,0)</f>
        <v>0</v>
      </c>
      <c r="AB33" s="15">
        <f>IF(AD33=21,J33,0)</f>
        <v>0</v>
      </c>
      <c r="AD33" s="30">
        <v>15</v>
      </c>
      <c r="AE33" s="30">
        <f>G33*0</f>
        <v>0</v>
      </c>
      <c r="AF33" s="30">
        <f>G33*(1-0)</f>
        <v>0</v>
      </c>
      <c r="AM33" s="30">
        <f>F33*AE33</f>
        <v>0</v>
      </c>
      <c r="AN33" s="30">
        <f>F33*AF33</f>
        <v>0</v>
      </c>
      <c r="AO33" s="31" t="s">
        <v>126</v>
      </c>
      <c r="AP33" s="31" t="s">
        <v>130</v>
      </c>
      <c r="AQ33" s="23" t="s">
        <v>131</v>
      </c>
    </row>
    <row r="34" spans="1:37" ht="12.75">
      <c r="A34" s="5"/>
      <c r="B34" s="12"/>
      <c r="C34" s="12" t="s">
        <v>50</v>
      </c>
      <c r="D34" s="87" t="s">
        <v>81</v>
      </c>
      <c r="E34" s="88"/>
      <c r="F34" s="88"/>
      <c r="G34" s="88"/>
      <c r="H34" s="33">
        <f>SUM(H35:H38)</f>
        <v>0</v>
      </c>
      <c r="I34" s="33">
        <f>SUM(I35:I38)</f>
        <v>0</v>
      </c>
      <c r="J34" s="33">
        <f>H34+I34</f>
        <v>0</v>
      </c>
      <c r="K34" s="23"/>
      <c r="L34" s="33">
        <f>SUM(L35:L38)</f>
        <v>0</v>
      </c>
      <c r="M34" s="23"/>
      <c r="P34" s="33">
        <f>IF(Q34="PR",J34,SUM(O35:O38))</f>
        <v>0</v>
      </c>
      <c r="Q34" s="23" t="s">
        <v>112</v>
      </c>
      <c r="R34" s="33">
        <f>IF(Q34="HS",H34,0)</f>
        <v>0</v>
      </c>
      <c r="S34" s="33">
        <f>IF(Q34="HS",I34-P34,0)</f>
        <v>0</v>
      </c>
      <c r="T34" s="33">
        <f>IF(Q34="PS",H34,0)</f>
        <v>0</v>
      </c>
      <c r="U34" s="33">
        <f>IF(Q34="PS",I34-P34,0)</f>
        <v>0</v>
      </c>
      <c r="V34" s="33">
        <f>IF(Q34="MP",H34,0)</f>
        <v>0</v>
      </c>
      <c r="W34" s="33">
        <f>IF(Q34="MP",I34-P34,0)</f>
        <v>0</v>
      </c>
      <c r="X34" s="33">
        <f>IF(Q34="OM",H34,0)</f>
        <v>0</v>
      </c>
      <c r="Y34" s="23"/>
      <c r="AI34" s="33">
        <f>SUM(Z35:Z38)</f>
        <v>0</v>
      </c>
      <c r="AJ34" s="33">
        <f>SUM(AA35:AA38)</f>
        <v>0</v>
      </c>
      <c r="AK34" s="33">
        <f>SUM(AB35:AB38)</f>
        <v>0</v>
      </c>
    </row>
    <row r="35" spans="1:43" ht="12.75">
      <c r="A35" s="4" t="s">
        <v>22</v>
      </c>
      <c r="B35" s="4"/>
      <c r="C35" s="4" t="s">
        <v>51</v>
      </c>
      <c r="D35" s="4" t="s">
        <v>82</v>
      </c>
      <c r="E35" s="4" t="s">
        <v>93</v>
      </c>
      <c r="F35" s="15">
        <v>20.75</v>
      </c>
      <c r="G35" s="15">
        <v>0</v>
      </c>
      <c r="H35" s="15">
        <f>F35*AE35</f>
        <v>0</v>
      </c>
      <c r="I35" s="15">
        <f>J35-H35</f>
        <v>0</v>
      </c>
      <c r="J35" s="15">
        <f>F35*G35</f>
        <v>0</v>
      </c>
      <c r="K35" s="15">
        <v>0</v>
      </c>
      <c r="L35" s="15">
        <f>F35*K35</f>
        <v>0</v>
      </c>
      <c r="M35" s="26" t="s">
        <v>109</v>
      </c>
      <c r="N35" s="26" t="s">
        <v>10</v>
      </c>
      <c r="O35" s="15">
        <f>IF(N35="5",I35,0)</f>
        <v>0</v>
      </c>
      <c r="Z35" s="15">
        <f>IF(AD35=0,J35,0)</f>
        <v>0</v>
      </c>
      <c r="AA35" s="15">
        <f>IF(AD35=15,J35,0)</f>
        <v>0</v>
      </c>
      <c r="AB35" s="15">
        <f>IF(AD35=21,J35,0)</f>
        <v>0</v>
      </c>
      <c r="AD35" s="30">
        <v>15</v>
      </c>
      <c r="AE35" s="30">
        <f>G35*0</f>
        <v>0</v>
      </c>
      <c r="AF35" s="30">
        <f>G35*(1-0)</f>
        <v>0</v>
      </c>
      <c r="AM35" s="30">
        <f>F35*AE35</f>
        <v>0</v>
      </c>
      <c r="AN35" s="30">
        <f>F35*AF35</f>
        <v>0</v>
      </c>
      <c r="AO35" s="31" t="s">
        <v>127</v>
      </c>
      <c r="AP35" s="31" t="s">
        <v>130</v>
      </c>
      <c r="AQ35" s="23" t="s">
        <v>131</v>
      </c>
    </row>
    <row r="36" spans="1:43" ht="12.75">
      <c r="A36" s="4" t="s">
        <v>23</v>
      </c>
      <c r="B36" s="4"/>
      <c r="C36" s="4" t="s">
        <v>52</v>
      </c>
      <c r="D36" s="4" t="s">
        <v>83</v>
      </c>
      <c r="E36" s="4" t="s">
        <v>93</v>
      </c>
      <c r="F36" s="15">
        <v>20.75</v>
      </c>
      <c r="G36" s="15">
        <v>0</v>
      </c>
      <c r="H36" s="15">
        <f>F36*AE36</f>
        <v>0</v>
      </c>
      <c r="I36" s="15">
        <f>J36-H36</f>
        <v>0</v>
      </c>
      <c r="J36" s="15">
        <f>F36*G36</f>
        <v>0</v>
      </c>
      <c r="K36" s="15">
        <v>0</v>
      </c>
      <c r="L36" s="15">
        <f>F36*K36</f>
        <v>0</v>
      </c>
      <c r="M36" s="26" t="s">
        <v>109</v>
      </c>
      <c r="N36" s="26" t="s">
        <v>10</v>
      </c>
      <c r="O36" s="15">
        <f>IF(N36="5",I36,0)</f>
        <v>0</v>
      </c>
      <c r="Z36" s="15">
        <f>IF(AD36=0,J36,0)</f>
        <v>0</v>
      </c>
      <c r="AA36" s="15">
        <f>IF(AD36=15,J36,0)</f>
        <v>0</v>
      </c>
      <c r="AB36" s="15">
        <f>IF(AD36=21,J36,0)</f>
        <v>0</v>
      </c>
      <c r="AD36" s="30">
        <v>15</v>
      </c>
      <c r="AE36" s="30">
        <f>G36*0</f>
        <v>0</v>
      </c>
      <c r="AF36" s="30">
        <f>G36*(1-0)</f>
        <v>0</v>
      </c>
      <c r="AM36" s="30">
        <f>F36*AE36</f>
        <v>0</v>
      </c>
      <c r="AN36" s="30">
        <f>F36*AF36</f>
        <v>0</v>
      </c>
      <c r="AO36" s="31" t="s">
        <v>127</v>
      </c>
      <c r="AP36" s="31" t="s">
        <v>130</v>
      </c>
      <c r="AQ36" s="23" t="s">
        <v>131</v>
      </c>
    </row>
    <row r="37" spans="1:43" ht="12.75">
      <c r="A37" s="4" t="s">
        <v>24</v>
      </c>
      <c r="B37" s="4"/>
      <c r="C37" s="4" t="s">
        <v>53</v>
      </c>
      <c r="D37" s="4" t="s">
        <v>84</v>
      </c>
      <c r="E37" s="4" t="s">
        <v>93</v>
      </c>
      <c r="F37" s="15">
        <v>207.5</v>
      </c>
      <c r="G37" s="15">
        <v>0</v>
      </c>
      <c r="H37" s="15">
        <f>F37*AE37</f>
        <v>0</v>
      </c>
      <c r="I37" s="15">
        <f>J37-H37</f>
        <v>0</v>
      </c>
      <c r="J37" s="15">
        <f>F37*G37</f>
        <v>0</v>
      </c>
      <c r="K37" s="15">
        <v>0</v>
      </c>
      <c r="L37" s="15">
        <f>F37*K37</f>
        <v>0</v>
      </c>
      <c r="M37" s="26" t="s">
        <v>109</v>
      </c>
      <c r="N37" s="26" t="s">
        <v>10</v>
      </c>
      <c r="O37" s="15">
        <f>IF(N37="5",I37,0)</f>
        <v>0</v>
      </c>
      <c r="Z37" s="15">
        <f>IF(AD37=0,J37,0)</f>
        <v>0</v>
      </c>
      <c r="AA37" s="15">
        <f>IF(AD37=15,J37,0)</f>
        <v>0</v>
      </c>
      <c r="AB37" s="15">
        <f>IF(AD37=21,J37,0)</f>
        <v>0</v>
      </c>
      <c r="AD37" s="30">
        <v>15</v>
      </c>
      <c r="AE37" s="30">
        <f>G37*0</f>
        <v>0</v>
      </c>
      <c r="AF37" s="30">
        <f>G37*(1-0)</f>
        <v>0</v>
      </c>
      <c r="AM37" s="30">
        <f>F37*AE37</f>
        <v>0</v>
      </c>
      <c r="AN37" s="30">
        <f>F37*AF37</f>
        <v>0</v>
      </c>
      <c r="AO37" s="31" t="s">
        <v>127</v>
      </c>
      <c r="AP37" s="31" t="s">
        <v>130</v>
      </c>
      <c r="AQ37" s="23" t="s">
        <v>131</v>
      </c>
    </row>
    <row r="38" spans="1:43" ht="12.75">
      <c r="A38" s="6" t="s">
        <v>25</v>
      </c>
      <c r="B38" s="6"/>
      <c r="C38" s="6" t="s">
        <v>54</v>
      </c>
      <c r="D38" s="6" t="s">
        <v>85</v>
      </c>
      <c r="E38" s="6" t="s">
        <v>93</v>
      </c>
      <c r="F38" s="16">
        <v>20.75</v>
      </c>
      <c r="G38" s="16">
        <v>0</v>
      </c>
      <c r="H38" s="16">
        <f>F38*AE38</f>
        <v>0</v>
      </c>
      <c r="I38" s="16">
        <f>J38-H38</f>
        <v>0</v>
      </c>
      <c r="J38" s="16">
        <f>F38*G38</f>
        <v>0</v>
      </c>
      <c r="K38" s="16">
        <v>0</v>
      </c>
      <c r="L38" s="16">
        <f>F38*K38</f>
        <v>0</v>
      </c>
      <c r="M38" s="27" t="s">
        <v>109</v>
      </c>
      <c r="N38" s="26" t="s">
        <v>10</v>
      </c>
      <c r="O38" s="15">
        <f>IF(N38="5",I38,0)</f>
        <v>0</v>
      </c>
      <c r="Z38" s="15">
        <f>IF(AD38=0,J38,0)</f>
        <v>0</v>
      </c>
      <c r="AA38" s="15">
        <f>IF(AD38=15,J38,0)</f>
        <v>0</v>
      </c>
      <c r="AB38" s="15">
        <f>IF(AD38=21,J38,0)</f>
        <v>0</v>
      </c>
      <c r="AD38" s="30">
        <v>15</v>
      </c>
      <c r="AE38" s="30">
        <f>G38*0</f>
        <v>0</v>
      </c>
      <c r="AF38" s="30">
        <f>G38*(1-0)</f>
        <v>0</v>
      </c>
      <c r="AM38" s="30">
        <f>F38*AE38</f>
        <v>0</v>
      </c>
      <c r="AN38" s="30">
        <f>F38*AF38</f>
        <v>0</v>
      </c>
      <c r="AO38" s="31" t="s">
        <v>127</v>
      </c>
      <c r="AP38" s="31" t="s">
        <v>130</v>
      </c>
      <c r="AQ38" s="23" t="s">
        <v>131</v>
      </c>
    </row>
    <row r="39" spans="1:28" ht="12.75">
      <c r="A39" s="7"/>
      <c r="B39" s="7"/>
      <c r="C39" s="7"/>
      <c r="D39" s="7"/>
      <c r="E39" s="7"/>
      <c r="F39" s="7"/>
      <c r="G39" s="7"/>
      <c r="H39" s="89" t="s">
        <v>99</v>
      </c>
      <c r="I39" s="90"/>
      <c r="J39" s="34">
        <f>J12+J19+J23+J28+J30+J32+J34</f>
        <v>0</v>
      </c>
      <c r="K39" s="7"/>
      <c r="L39" s="7"/>
      <c r="M39" s="7"/>
      <c r="Z39" s="35">
        <f>SUM(Z13:Z38)</f>
        <v>0</v>
      </c>
      <c r="AA39" s="35">
        <f>SUM(AA13:AA38)</f>
        <v>0</v>
      </c>
      <c r="AB39" s="35">
        <f>SUM(AB13:AB38)</f>
        <v>0</v>
      </c>
    </row>
    <row r="40" ht="11.25" customHeight="1">
      <c r="A40" s="8" t="s">
        <v>26</v>
      </c>
    </row>
    <row r="41" spans="1:13" ht="409.5" customHeight="1" hidden="1">
      <c r="A41" s="76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</sheetData>
  <sheetProtection/>
  <mergeCells count="36">
    <mergeCell ref="D30:G30"/>
    <mergeCell ref="D32:G32"/>
    <mergeCell ref="D34:G34"/>
    <mergeCell ref="H39:I39"/>
    <mergeCell ref="A41:M41"/>
    <mergeCell ref="H10:J10"/>
    <mergeCell ref="K10:L10"/>
    <mergeCell ref="D12:G12"/>
    <mergeCell ref="D19:G19"/>
    <mergeCell ref="D23:G23"/>
    <mergeCell ref="D28:G28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2" sqref="F2:G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2"/>
      <c r="B1" s="36"/>
      <c r="C1" s="91" t="s">
        <v>187</v>
      </c>
      <c r="D1" s="92"/>
      <c r="E1" s="92"/>
      <c r="F1" s="92"/>
      <c r="G1" s="92"/>
      <c r="H1" s="92"/>
      <c r="I1" s="92"/>
    </row>
    <row r="2" spans="1:10" ht="12.75">
      <c r="A2" s="65" t="s">
        <v>0</v>
      </c>
      <c r="B2" s="66"/>
      <c r="C2" s="69" t="s">
        <v>55</v>
      </c>
      <c r="D2" s="90"/>
      <c r="E2" s="72" t="s">
        <v>100</v>
      </c>
      <c r="F2" s="72"/>
      <c r="G2" s="66"/>
      <c r="H2" s="72" t="s">
        <v>170</v>
      </c>
      <c r="I2" s="93"/>
      <c r="J2" s="28"/>
    </row>
    <row r="3" spans="1:10" ht="12.75">
      <c r="A3" s="67"/>
      <c r="B3" s="68"/>
      <c r="C3" s="70"/>
      <c r="D3" s="70"/>
      <c r="E3" s="68"/>
      <c r="F3" s="68"/>
      <c r="G3" s="68"/>
      <c r="H3" s="68"/>
      <c r="I3" s="74"/>
      <c r="J3" s="28"/>
    </row>
    <row r="4" spans="1:10" ht="12.75">
      <c r="A4" s="75" t="s">
        <v>1</v>
      </c>
      <c r="B4" s="68"/>
      <c r="C4" s="76"/>
      <c r="D4" s="68"/>
      <c r="E4" s="76" t="s">
        <v>101</v>
      </c>
      <c r="F4" s="76"/>
      <c r="G4" s="68"/>
      <c r="H4" s="76" t="s">
        <v>170</v>
      </c>
      <c r="I4" s="94"/>
      <c r="J4" s="28"/>
    </row>
    <row r="5" spans="1:10" ht="12.75">
      <c r="A5" s="67"/>
      <c r="B5" s="68"/>
      <c r="C5" s="68"/>
      <c r="D5" s="68"/>
      <c r="E5" s="68"/>
      <c r="F5" s="68"/>
      <c r="G5" s="68"/>
      <c r="H5" s="68"/>
      <c r="I5" s="74"/>
      <c r="J5" s="28"/>
    </row>
    <row r="6" spans="1:10" ht="12.75">
      <c r="A6" s="75" t="s">
        <v>2</v>
      </c>
      <c r="B6" s="68"/>
      <c r="C6" s="76" t="s">
        <v>56</v>
      </c>
      <c r="D6" s="68"/>
      <c r="E6" s="76" t="s">
        <v>102</v>
      </c>
      <c r="F6" s="76"/>
      <c r="G6" s="68"/>
      <c r="H6" s="76" t="s">
        <v>170</v>
      </c>
      <c r="I6" s="94"/>
      <c r="J6" s="28"/>
    </row>
    <row r="7" spans="1:10" ht="12.75">
      <c r="A7" s="67"/>
      <c r="B7" s="68"/>
      <c r="C7" s="68"/>
      <c r="D7" s="68"/>
      <c r="E7" s="68"/>
      <c r="F7" s="68"/>
      <c r="G7" s="68"/>
      <c r="H7" s="68"/>
      <c r="I7" s="74"/>
      <c r="J7" s="28"/>
    </row>
    <row r="8" spans="1:10" ht="12.75">
      <c r="A8" s="75" t="s">
        <v>87</v>
      </c>
      <c r="B8" s="68"/>
      <c r="C8" s="78"/>
      <c r="D8" s="68"/>
      <c r="E8" s="76" t="s">
        <v>88</v>
      </c>
      <c r="F8" s="78"/>
      <c r="G8" s="68"/>
      <c r="H8" s="77" t="s">
        <v>171</v>
      </c>
      <c r="I8" s="94" t="s">
        <v>25</v>
      </c>
      <c r="J8" s="28"/>
    </row>
    <row r="9" spans="1:10" ht="12.75">
      <c r="A9" s="67"/>
      <c r="B9" s="68"/>
      <c r="C9" s="68"/>
      <c r="D9" s="68"/>
      <c r="E9" s="68"/>
      <c r="F9" s="68"/>
      <c r="G9" s="68"/>
      <c r="H9" s="68"/>
      <c r="I9" s="74"/>
      <c r="J9" s="28"/>
    </row>
    <row r="10" spans="1:10" ht="12.75">
      <c r="A10" s="75" t="s">
        <v>3</v>
      </c>
      <c r="B10" s="68"/>
      <c r="C10" s="76"/>
      <c r="D10" s="68"/>
      <c r="E10" s="76" t="s">
        <v>103</v>
      </c>
      <c r="F10" s="76"/>
      <c r="G10" s="68"/>
      <c r="H10" s="77" t="s">
        <v>172</v>
      </c>
      <c r="I10" s="97"/>
      <c r="J10" s="28"/>
    </row>
    <row r="11" spans="1:10" ht="12.75">
      <c r="A11" s="95"/>
      <c r="B11" s="96"/>
      <c r="C11" s="96"/>
      <c r="D11" s="96"/>
      <c r="E11" s="96"/>
      <c r="F11" s="96"/>
      <c r="G11" s="96"/>
      <c r="H11" s="96"/>
      <c r="I11" s="98"/>
      <c r="J11" s="28"/>
    </row>
    <row r="12" spans="1:9" ht="23.25" customHeight="1">
      <c r="A12" s="99" t="s">
        <v>132</v>
      </c>
      <c r="B12" s="100"/>
      <c r="C12" s="100"/>
      <c r="D12" s="100"/>
      <c r="E12" s="100"/>
      <c r="F12" s="100"/>
      <c r="G12" s="100"/>
      <c r="H12" s="100"/>
      <c r="I12" s="100"/>
    </row>
    <row r="13" spans="1:10" ht="26.25" customHeight="1">
      <c r="A13" s="37" t="s">
        <v>133</v>
      </c>
      <c r="B13" s="101" t="s">
        <v>145</v>
      </c>
      <c r="C13" s="102"/>
      <c r="D13" s="37" t="s">
        <v>147</v>
      </c>
      <c r="E13" s="101" t="s">
        <v>156</v>
      </c>
      <c r="F13" s="102"/>
      <c r="G13" s="37" t="s">
        <v>157</v>
      </c>
      <c r="H13" s="101" t="s">
        <v>173</v>
      </c>
      <c r="I13" s="102"/>
      <c r="J13" s="28"/>
    </row>
    <row r="14" spans="1:10" ht="15" customHeight="1">
      <c r="A14" s="38" t="s">
        <v>134</v>
      </c>
      <c r="B14" s="42" t="s">
        <v>146</v>
      </c>
      <c r="C14" s="46">
        <f>SUM('Stavební rozpočet'!R12:R38)</f>
        <v>0</v>
      </c>
      <c r="D14" s="103" t="s">
        <v>148</v>
      </c>
      <c r="E14" s="104"/>
      <c r="F14" s="46">
        <f>VORN!I15</f>
        <v>0</v>
      </c>
      <c r="G14" s="103" t="s">
        <v>158</v>
      </c>
      <c r="H14" s="104"/>
      <c r="I14" s="46">
        <f>VORN!I21</f>
        <v>0</v>
      </c>
      <c r="J14" s="28"/>
    </row>
    <row r="15" spans="1:10" ht="15" customHeight="1">
      <c r="A15" s="39"/>
      <c r="B15" s="42" t="s">
        <v>104</v>
      </c>
      <c r="C15" s="46">
        <f>SUM('Stavební rozpočet'!S12:S38)</f>
        <v>0</v>
      </c>
      <c r="D15" s="103" t="s">
        <v>149</v>
      </c>
      <c r="E15" s="104"/>
      <c r="F15" s="46">
        <f>VORN!I16</f>
        <v>0</v>
      </c>
      <c r="G15" s="103" t="s">
        <v>159</v>
      </c>
      <c r="H15" s="104"/>
      <c r="I15" s="46">
        <f>VORN!I22</f>
        <v>0</v>
      </c>
      <c r="J15" s="28"/>
    </row>
    <row r="16" spans="1:10" ht="15" customHeight="1">
      <c r="A16" s="38" t="s">
        <v>135</v>
      </c>
      <c r="B16" s="42" t="s">
        <v>146</v>
      </c>
      <c r="C16" s="46">
        <f>SUM('Stavební rozpočet'!T12:T38)</f>
        <v>0</v>
      </c>
      <c r="D16" s="103" t="s">
        <v>150</v>
      </c>
      <c r="E16" s="104"/>
      <c r="F16" s="46">
        <f>VORN!I17</f>
        <v>0</v>
      </c>
      <c r="G16" s="103" t="s">
        <v>160</v>
      </c>
      <c r="H16" s="104"/>
      <c r="I16" s="46">
        <f>VORN!I23</f>
        <v>0</v>
      </c>
      <c r="J16" s="28"/>
    </row>
    <row r="17" spans="1:10" ht="15" customHeight="1">
      <c r="A17" s="39"/>
      <c r="B17" s="42" t="s">
        <v>104</v>
      </c>
      <c r="C17" s="46">
        <f>SUM('Stavební rozpočet'!U12:U38)</f>
        <v>0</v>
      </c>
      <c r="D17" s="103"/>
      <c r="E17" s="104"/>
      <c r="F17" s="47"/>
      <c r="G17" s="103" t="s">
        <v>161</v>
      </c>
      <c r="H17" s="104"/>
      <c r="I17" s="46">
        <f>VORN!I24</f>
        <v>0</v>
      </c>
      <c r="J17" s="28"/>
    </row>
    <row r="18" spans="1:10" ht="15" customHeight="1">
      <c r="A18" s="38" t="s">
        <v>136</v>
      </c>
      <c r="B18" s="42" t="s">
        <v>146</v>
      </c>
      <c r="C18" s="46">
        <f>SUM('Stavební rozpočet'!V12:V38)</f>
        <v>0</v>
      </c>
      <c r="D18" s="103"/>
      <c r="E18" s="104"/>
      <c r="F18" s="47"/>
      <c r="G18" s="103" t="s">
        <v>75</v>
      </c>
      <c r="H18" s="104"/>
      <c r="I18" s="46">
        <f>VORN!I25</f>
        <v>0</v>
      </c>
      <c r="J18" s="28"/>
    </row>
    <row r="19" spans="1:10" ht="15" customHeight="1">
      <c r="A19" s="39"/>
      <c r="B19" s="42" t="s">
        <v>104</v>
      </c>
      <c r="C19" s="46">
        <f>SUM('Stavební rozpočet'!W12:W38)</f>
        <v>0</v>
      </c>
      <c r="D19" s="103"/>
      <c r="E19" s="104"/>
      <c r="F19" s="47"/>
      <c r="G19" s="103" t="s">
        <v>162</v>
      </c>
      <c r="H19" s="104"/>
      <c r="I19" s="46">
        <f>VORN!I26</f>
        <v>0</v>
      </c>
      <c r="J19" s="28"/>
    </row>
    <row r="20" spans="1:10" ht="15" customHeight="1">
      <c r="A20" s="105" t="s">
        <v>137</v>
      </c>
      <c r="B20" s="106"/>
      <c r="C20" s="46">
        <f>SUM('Stavební rozpočet'!X12:X38)</f>
        <v>0</v>
      </c>
      <c r="D20" s="103"/>
      <c r="E20" s="104"/>
      <c r="F20" s="47"/>
      <c r="G20" s="103"/>
      <c r="H20" s="104"/>
      <c r="I20" s="47"/>
      <c r="J20" s="28"/>
    </row>
    <row r="21" spans="1:10" ht="15" customHeight="1">
      <c r="A21" s="105" t="s">
        <v>138</v>
      </c>
      <c r="B21" s="106"/>
      <c r="C21" s="46">
        <f>SUM('Stavební rozpočet'!P12:P38)</f>
        <v>0</v>
      </c>
      <c r="D21" s="103"/>
      <c r="E21" s="104"/>
      <c r="F21" s="47"/>
      <c r="G21" s="103"/>
      <c r="H21" s="104"/>
      <c r="I21" s="47"/>
      <c r="J21" s="28"/>
    </row>
    <row r="22" spans="1:10" ht="16.5" customHeight="1">
      <c r="A22" s="105" t="s">
        <v>139</v>
      </c>
      <c r="B22" s="106"/>
      <c r="C22" s="46">
        <f>SUM(C14:C21)</f>
        <v>0</v>
      </c>
      <c r="D22" s="105" t="s">
        <v>151</v>
      </c>
      <c r="E22" s="106"/>
      <c r="F22" s="46">
        <f>SUM(F14:F21)</f>
        <v>0</v>
      </c>
      <c r="G22" s="105" t="s">
        <v>163</v>
      </c>
      <c r="H22" s="106"/>
      <c r="I22" s="46">
        <f>ROUND(C22*(3/100),2)</f>
        <v>0</v>
      </c>
      <c r="J22" s="28"/>
    </row>
    <row r="23" spans="1:10" ht="15" customHeight="1">
      <c r="A23" s="7"/>
      <c r="B23" s="7"/>
      <c r="C23" s="44"/>
      <c r="D23" s="105" t="s">
        <v>152</v>
      </c>
      <c r="E23" s="106"/>
      <c r="F23" s="48">
        <v>0</v>
      </c>
      <c r="G23" s="105" t="s">
        <v>164</v>
      </c>
      <c r="H23" s="106"/>
      <c r="I23" s="46">
        <v>0</v>
      </c>
      <c r="J23" s="28"/>
    </row>
    <row r="24" spans="4:10" ht="15" customHeight="1">
      <c r="D24" s="7"/>
      <c r="E24" s="7"/>
      <c r="F24" s="49"/>
      <c r="G24" s="105" t="s">
        <v>165</v>
      </c>
      <c r="H24" s="106"/>
      <c r="I24" s="46">
        <f>vorn_sum</f>
        <v>0</v>
      </c>
      <c r="J24" s="28"/>
    </row>
    <row r="25" spans="6:10" ht="15" customHeight="1">
      <c r="F25" s="50"/>
      <c r="G25" s="105" t="s">
        <v>166</v>
      </c>
      <c r="H25" s="106"/>
      <c r="I25" s="46">
        <v>0</v>
      </c>
      <c r="J25" s="28"/>
    </row>
    <row r="26" spans="1:9" ht="12.75">
      <c r="A26" s="36"/>
      <c r="B26" s="36"/>
      <c r="C26" s="36"/>
      <c r="G26" s="7"/>
      <c r="H26" s="7"/>
      <c r="I26" s="7"/>
    </row>
    <row r="27" spans="1:9" ht="15" customHeight="1">
      <c r="A27" s="107" t="s">
        <v>140</v>
      </c>
      <c r="B27" s="108"/>
      <c r="C27" s="51">
        <f>SUM('Stavební rozpočet'!Z12:Z38)</f>
        <v>0</v>
      </c>
      <c r="D27" s="45"/>
      <c r="E27" s="36"/>
      <c r="F27" s="36"/>
      <c r="G27" s="36"/>
      <c r="H27" s="36"/>
      <c r="I27" s="36"/>
    </row>
    <row r="28" spans="1:10" ht="15" customHeight="1">
      <c r="A28" s="107" t="s">
        <v>141</v>
      </c>
      <c r="B28" s="108"/>
      <c r="C28" s="51">
        <f>SUM('Stavební rozpočet'!AA12:AA38)+(F22+I22+F23+I23+I24+I25)</f>
        <v>0</v>
      </c>
      <c r="D28" s="107" t="s">
        <v>153</v>
      </c>
      <c r="E28" s="108"/>
      <c r="F28" s="51">
        <f>ROUND(C28*(15/100),2)</f>
        <v>0</v>
      </c>
      <c r="G28" s="107" t="s">
        <v>167</v>
      </c>
      <c r="H28" s="108"/>
      <c r="I28" s="51">
        <f>SUM(C27:C29)</f>
        <v>0</v>
      </c>
      <c r="J28" s="28"/>
    </row>
    <row r="29" spans="1:10" ht="15" customHeight="1">
      <c r="A29" s="107" t="s">
        <v>142</v>
      </c>
      <c r="B29" s="108"/>
      <c r="C29" s="51">
        <f>SUM('Stavební rozpočet'!AB12:AB38)</f>
        <v>0</v>
      </c>
      <c r="D29" s="107" t="s">
        <v>154</v>
      </c>
      <c r="E29" s="108"/>
      <c r="F29" s="51">
        <f>ROUND(C29*(21/100),2)</f>
        <v>0</v>
      </c>
      <c r="G29" s="107" t="s">
        <v>168</v>
      </c>
      <c r="H29" s="108"/>
      <c r="I29" s="51">
        <f>SUM(F28:F29)+I28</f>
        <v>0</v>
      </c>
      <c r="J29" s="28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10" ht="14.25" customHeight="1">
      <c r="A31" s="109" t="s">
        <v>143</v>
      </c>
      <c r="B31" s="110"/>
      <c r="C31" s="111"/>
      <c r="D31" s="109" t="s">
        <v>155</v>
      </c>
      <c r="E31" s="110"/>
      <c r="F31" s="111"/>
      <c r="G31" s="109" t="s">
        <v>169</v>
      </c>
      <c r="H31" s="110"/>
      <c r="I31" s="111"/>
      <c r="J31" s="29"/>
    </row>
    <row r="32" spans="1:10" ht="14.25" customHeight="1">
      <c r="A32" s="112"/>
      <c r="B32" s="113"/>
      <c r="C32" s="114"/>
      <c r="D32" s="112"/>
      <c r="E32" s="113"/>
      <c r="F32" s="114"/>
      <c r="G32" s="112"/>
      <c r="H32" s="113"/>
      <c r="I32" s="114"/>
      <c r="J32" s="29"/>
    </row>
    <row r="33" spans="1:10" ht="14.25" customHeight="1">
      <c r="A33" s="112"/>
      <c r="B33" s="113"/>
      <c r="C33" s="114"/>
      <c r="D33" s="112"/>
      <c r="E33" s="113"/>
      <c r="F33" s="114"/>
      <c r="G33" s="112"/>
      <c r="H33" s="113"/>
      <c r="I33" s="114"/>
      <c r="J33" s="29"/>
    </row>
    <row r="34" spans="1:10" ht="14.25" customHeight="1">
      <c r="A34" s="112"/>
      <c r="B34" s="113"/>
      <c r="C34" s="114"/>
      <c r="D34" s="112"/>
      <c r="E34" s="113"/>
      <c r="F34" s="114"/>
      <c r="G34" s="112"/>
      <c r="H34" s="113"/>
      <c r="I34" s="114"/>
      <c r="J34" s="29"/>
    </row>
    <row r="35" spans="1:10" ht="14.25" customHeight="1">
      <c r="A35" s="115" t="s">
        <v>144</v>
      </c>
      <c r="B35" s="116"/>
      <c r="C35" s="117"/>
      <c r="D35" s="115" t="s">
        <v>144</v>
      </c>
      <c r="E35" s="116"/>
      <c r="F35" s="117"/>
      <c r="G35" s="115" t="s">
        <v>144</v>
      </c>
      <c r="H35" s="116"/>
      <c r="I35" s="117"/>
      <c r="J35" s="29"/>
    </row>
    <row r="36" spans="1:9" ht="11.25" customHeight="1">
      <c r="A36" s="41" t="s">
        <v>26</v>
      </c>
      <c r="B36" s="43"/>
      <c r="C36" s="43"/>
      <c r="D36" s="43"/>
      <c r="E36" s="43"/>
      <c r="F36" s="43"/>
      <c r="G36" s="43"/>
      <c r="H36" s="43"/>
      <c r="I36" s="43"/>
    </row>
    <row r="37" spans="1:9" ht="409.5" customHeight="1" hidden="1">
      <c r="A37" s="76"/>
      <c r="B37" s="68"/>
      <c r="C37" s="68"/>
      <c r="D37" s="68"/>
      <c r="E37" s="68"/>
      <c r="F37" s="68"/>
      <c r="G37" s="68"/>
      <c r="H37" s="68"/>
      <c r="I37" s="68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62"/>
      <c r="B1" s="36"/>
      <c r="C1" s="91" t="s">
        <v>182</v>
      </c>
      <c r="D1" s="92"/>
      <c r="E1" s="92"/>
      <c r="F1" s="92"/>
      <c r="G1" s="92"/>
      <c r="H1" s="92"/>
      <c r="I1" s="92"/>
    </row>
    <row r="2" spans="1:10" ht="12.75">
      <c r="A2" s="65" t="s">
        <v>0</v>
      </c>
      <c r="B2" s="66"/>
      <c r="C2" s="69" t="s">
        <v>55</v>
      </c>
      <c r="D2" s="90"/>
      <c r="E2" s="72" t="s">
        <v>100</v>
      </c>
      <c r="F2" s="72"/>
      <c r="G2" s="66"/>
      <c r="H2" s="72" t="s">
        <v>170</v>
      </c>
      <c r="I2" s="93"/>
      <c r="J2" s="28"/>
    </row>
    <row r="3" spans="1:10" ht="12.75">
      <c r="A3" s="67"/>
      <c r="B3" s="68"/>
      <c r="C3" s="70"/>
      <c r="D3" s="70"/>
      <c r="E3" s="68"/>
      <c r="F3" s="68"/>
      <c r="G3" s="68"/>
      <c r="H3" s="68"/>
      <c r="I3" s="74"/>
      <c r="J3" s="28"/>
    </row>
    <row r="4" spans="1:10" ht="12.75">
      <c r="A4" s="75" t="s">
        <v>1</v>
      </c>
      <c r="B4" s="68"/>
      <c r="C4" s="76"/>
      <c r="D4" s="68"/>
      <c r="E4" s="76" t="s">
        <v>101</v>
      </c>
      <c r="F4" s="76"/>
      <c r="G4" s="68"/>
      <c r="H4" s="76" t="s">
        <v>170</v>
      </c>
      <c r="I4" s="94"/>
      <c r="J4" s="28"/>
    </row>
    <row r="5" spans="1:10" ht="12.75">
      <c r="A5" s="67"/>
      <c r="B5" s="68"/>
      <c r="C5" s="68"/>
      <c r="D5" s="68"/>
      <c r="E5" s="68"/>
      <c r="F5" s="68"/>
      <c r="G5" s="68"/>
      <c r="H5" s="68"/>
      <c r="I5" s="74"/>
      <c r="J5" s="28"/>
    </row>
    <row r="6" spans="1:10" ht="12.75">
      <c r="A6" s="75" t="s">
        <v>2</v>
      </c>
      <c r="B6" s="68"/>
      <c r="C6" s="76" t="s">
        <v>56</v>
      </c>
      <c r="D6" s="68"/>
      <c r="E6" s="76" t="s">
        <v>102</v>
      </c>
      <c r="F6" s="76"/>
      <c r="G6" s="68"/>
      <c r="H6" s="76" t="s">
        <v>170</v>
      </c>
      <c r="I6" s="94"/>
      <c r="J6" s="28"/>
    </row>
    <row r="7" spans="1:10" ht="12.75">
      <c r="A7" s="67"/>
      <c r="B7" s="68"/>
      <c r="C7" s="68"/>
      <c r="D7" s="68"/>
      <c r="E7" s="68"/>
      <c r="F7" s="68"/>
      <c r="G7" s="68"/>
      <c r="H7" s="68"/>
      <c r="I7" s="74"/>
      <c r="J7" s="28"/>
    </row>
    <row r="8" spans="1:10" ht="12.75">
      <c r="A8" s="75" t="s">
        <v>87</v>
      </c>
      <c r="B8" s="68"/>
      <c r="C8" s="78"/>
      <c r="D8" s="68"/>
      <c r="E8" s="76" t="s">
        <v>88</v>
      </c>
      <c r="F8" s="78"/>
      <c r="G8" s="68"/>
      <c r="H8" s="77" t="s">
        <v>171</v>
      </c>
      <c r="I8" s="94" t="s">
        <v>25</v>
      </c>
      <c r="J8" s="28"/>
    </row>
    <row r="9" spans="1:10" ht="12.75">
      <c r="A9" s="67"/>
      <c r="B9" s="68"/>
      <c r="C9" s="68"/>
      <c r="D9" s="68"/>
      <c r="E9" s="68"/>
      <c r="F9" s="68"/>
      <c r="G9" s="68"/>
      <c r="H9" s="68"/>
      <c r="I9" s="74"/>
      <c r="J9" s="28"/>
    </row>
    <row r="10" spans="1:10" ht="12.75">
      <c r="A10" s="75" t="s">
        <v>3</v>
      </c>
      <c r="B10" s="68"/>
      <c r="C10" s="76"/>
      <c r="D10" s="68"/>
      <c r="E10" s="76" t="s">
        <v>103</v>
      </c>
      <c r="F10" s="76"/>
      <c r="G10" s="68"/>
      <c r="H10" s="77" t="s">
        <v>172</v>
      </c>
      <c r="I10" s="97"/>
      <c r="J10" s="28"/>
    </row>
    <row r="11" spans="1:10" ht="12.75">
      <c r="A11" s="95"/>
      <c r="B11" s="96"/>
      <c r="C11" s="96"/>
      <c r="D11" s="96"/>
      <c r="E11" s="96"/>
      <c r="F11" s="96"/>
      <c r="G11" s="96"/>
      <c r="H11" s="96"/>
      <c r="I11" s="98"/>
      <c r="J11" s="28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5" customHeight="1">
      <c r="A13" s="118" t="s">
        <v>174</v>
      </c>
      <c r="B13" s="119"/>
      <c r="C13" s="119"/>
      <c r="D13" s="119"/>
      <c r="E13" s="119"/>
      <c r="F13" s="53"/>
      <c r="G13" s="53"/>
      <c r="H13" s="53"/>
      <c r="I13" s="53"/>
    </row>
    <row r="14" spans="1:10" ht="12.75">
      <c r="A14" s="120" t="s">
        <v>175</v>
      </c>
      <c r="B14" s="121"/>
      <c r="C14" s="121"/>
      <c r="D14" s="121"/>
      <c r="E14" s="122"/>
      <c r="F14" s="54" t="s">
        <v>183</v>
      </c>
      <c r="G14" s="54" t="s">
        <v>184</v>
      </c>
      <c r="H14" s="54" t="s">
        <v>185</v>
      </c>
      <c r="I14" s="54" t="s">
        <v>183</v>
      </c>
      <c r="J14" s="29"/>
    </row>
    <row r="15" spans="1:10" ht="12.75">
      <c r="A15" s="123" t="s">
        <v>148</v>
      </c>
      <c r="B15" s="124"/>
      <c r="C15" s="124"/>
      <c r="D15" s="124"/>
      <c r="E15" s="125"/>
      <c r="F15" s="55">
        <v>0</v>
      </c>
      <c r="G15" s="58"/>
      <c r="H15" s="58"/>
      <c r="I15" s="55">
        <f>F15</f>
        <v>0</v>
      </c>
      <c r="J15" s="28"/>
    </row>
    <row r="16" spans="1:10" ht="12.75">
      <c r="A16" s="123" t="s">
        <v>149</v>
      </c>
      <c r="B16" s="124"/>
      <c r="C16" s="124"/>
      <c r="D16" s="124"/>
      <c r="E16" s="125"/>
      <c r="F16" s="55">
        <v>0</v>
      </c>
      <c r="G16" s="58"/>
      <c r="H16" s="58"/>
      <c r="I16" s="55">
        <f>F16</f>
        <v>0</v>
      </c>
      <c r="J16" s="28"/>
    </row>
    <row r="17" spans="1:10" ht="12.75">
      <c r="A17" s="126" t="s">
        <v>150</v>
      </c>
      <c r="B17" s="127"/>
      <c r="C17" s="127"/>
      <c r="D17" s="127"/>
      <c r="E17" s="128"/>
      <c r="F17" s="56">
        <v>0</v>
      </c>
      <c r="G17" s="59"/>
      <c r="H17" s="59"/>
      <c r="I17" s="56">
        <f>F17</f>
        <v>0</v>
      </c>
      <c r="J17" s="28"/>
    </row>
    <row r="18" spans="1:10" ht="12.75">
      <c r="A18" s="129" t="s">
        <v>176</v>
      </c>
      <c r="B18" s="130"/>
      <c r="C18" s="130"/>
      <c r="D18" s="130"/>
      <c r="E18" s="131"/>
      <c r="F18" s="57"/>
      <c r="G18" s="60"/>
      <c r="H18" s="60"/>
      <c r="I18" s="61">
        <f>SUM(I15:I17)</f>
        <v>0</v>
      </c>
      <c r="J18" s="29"/>
    </row>
    <row r="19" spans="1:9" ht="12.75">
      <c r="A19" s="52"/>
      <c r="B19" s="52"/>
      <c r="C19" s="52"/>
      <c r="D19" s="52"/>
      <c r="E19" s="52"/>
      <c r="F19" s="52"/>
      <c r="G19" s="52"/>
      <c r="H19" s="52"/>
      <c r="I19" s="52"/>
    </row>
    <row r="20" spans="1:10" ht="12.75">
      <c r="A20" s="120" t="s">
        <v>173</v>
      </c>
      <c r="B20" s="121"/>
      <c r="C20" s="121"/>
      <c r="D20" s="121"/>
      <c r="E20" s="122"/>
      <c r="F20" s="54" t="s">
        <v>183</v>
      </c>
      <c r="G20" s="54" t="s">
        <v>184</v>
      </c>
      <c r="H20" s="54" t="s">
        <v>185</v>
      </c>
      <c r="I20" s="54" t="s">
        <v>183</v>
      </c>
      <c r="J20" s="29"/>
    </row>
    <row r="21" spans="1:10" ht="12.75">
      <c r="A21" s="123" t="s">
        <v>158</v>
      </c>
      <c r="B21" s="124"/>
      <c r="C21" s="124"/>
      <c r="D21" s="124"/>
      <c r="E21" s="125"/>
      <c r="F21" s="55">
        <v>0</v>
      </c>
      <c r="G21" s="58"/>
      <c r="H21" s="58"/>
      <c r="I21" s="55">
        <f aca="true" t="shared" si="0" ref="I21:I26">F21</f>
        <v>0</v>
      </c>
      <c r="J21" s="28"/>
    </row>
    <row r="22" spans="1:10" ht="12.75">
      <c r="A22" s="123" t="s">
        <v>159</v>
      </c>
      <c r="B22" s="124"/>
      <c r="C22" s="124"/>
      <c r="D22" s="124"/>
      <c r="E22" s="125"/>
      <c r="F22" s="55">
        <v>0</v>
      </c>
      <c r="G22" s="58"/>
      <c r="H22" s="58"/>
      <c r="I22" s="55">
        <f t="shared" si="0"/>
        <v>0</v>
      </c>
      <c r="J22" s="28"/>
    </row>
    <row r="23" spans="1:10" ht="12.75">
      <c r="A23" s="123" t="s">
        <v>160</v>
      </c>
      <c r="B23" s="124"/>
      <c r="C23" s="124"/>
      <c r="D23" s="124"/>
      <c r="E23" s="125"/>
      <c r="F23" s="55">
        <v>0</v>
      </c>
      <c r="G23" s="58"/>
      <c r="H23" s="58"/>
      <c r="I23" s="55">
        <f t="shared" si="0"/>
        <v>0</v>
      </c>
      <c r="J23" s="28"/>
    </row>
    <row r="24" spans="1:10" ht="12.75">
      <c r="A24" s="123" t="s">
        <v>161</v>
      </c>
      <c r="B24" s="124"/>
      <c r="C24" s="124"/>
      <c r="D24" s="124"/>
      <c r="E24" s="125"/>
      <c r="F24" s="55">
        <v>0</v>
      </c>
      <c r="G24" s="58"/>
      <c r="H24" s="58"/>
      <c r="I24" s="55">
        <f t="shared" si="0"/>
        <v>0</v>
      </c>
      <c r="J24" s="28"/>
    </row>
    <row r="25" spans="1:10" ht="12.75">
      <c r="A25" s="123" t="s">
        <v>75</v>
      </c>
      <c r="B25" s="124"/>
      <c r="C25" s="124"/>
      <c r="D25" s="124"/>
      <c r="E25" s="125"/>
      <c r="F25" s="55">
        <v>0</v>
      </c>
      <c r="G25" s="58"/>
      <c r="H25" s="58"/>
      <c r="I25" s="55">
        <f t="shared" si="0"/>
        <v>0</v>
      </c>
      <c r="J25" s="28"/>
    </row>
    <row r="26" spans="1:10" ht="12.75">
      <c r="A26" s="126" t="s">
        <v>162</v>
      </c>
      <c r="B26" s="127"/>
      <c r="C26" s="127"/>
      <c r="D26" s="127"/>
      <c r="E26" s="128"/>
      <c r="F26" s="56">
        <v>0</v>
      </c>
      <c r="G26" s="59"/>
      <c r="H26" s="59"/>
      <c r="I26" s="56">
        <f t="shared" si="0"/>
        <v>0</v>
      </c>
      <c r="J26" s="28"/>
    </row>
    <row r="27" spans="1:10" ht="12.75">
      <c r="A27" s="129" t="s">
        <v>177</v>
      </c>
      <c r="B27" s="130"/>
      <c r="C27" s="130"/>
      <c r="D27" s="130"/>
      <c r="E27" s="131"/>
      <c r="F27" s="57"/>
      <c r="G27" s="61">
        <v>3</v>
      </c>
      <c r="H27" s="61">
        <f>'Krycí list rozpočtu'!C22</f>
        <v>0</v>
      </c>
      <c r="I27" s="61">
        <f>(G27/100)*H27</f>
        <v>0</v>
      </c>
      <c r="J27" s="29"/>
    </row>
    <row r="28" spans="1:9" ht="12.75">
      <c r="A28" s="52"/>
      <c r="B28" s="52"/>
      <c r="C28" s="52"/>
      <c r="D28" s="52"/>
      <c r="E28" s="52"/>
      <c r="F28" s="52"/>
      <c r="G28" s="52"/>
      <c r="H28" s="52"/>
      <c r="I28" s="52"/>
    </row>
    <row r="29" spans="1:10" ht="15" customHeight="1">
      <c r="A29" s="132" t="s">
        <v>178</v>
      </c>
      <c r="B29" s="133"/>
      <c r="C29" s="133"/>
      <c r="D29" s="133"/>
      <c r="E29" s="134"/>
      <c r="F29" s="135">
        <f>I18+I27</f>
        <v>0</v>
      </c>
      <c r="G29" s="136"/>
      <c r="H29" s="136"/>
      <c r="I29" s="137"/>
      <c r="J29" s="29"/>
    </row>
    <row r="30" spans="1:9" ht="12.75">
      <c r="A30" s="43"/>
      <c r="B30" s="43"/>
      <c r="C30" s="43"/>
      <c r="D30" s="43"/>
      <c r="E30" s="43"/>
      <c r="F30" s="43"/>
      <c r="G30" s="43"/>
      <c r="H30" s="43"/>
      <c r="I30" s="43"/>
    </row>
    <row r="33" spans="1:9" ht="15" customHeight="1">
      <c r="A33" s="118" t="s">
        <v>179</v>
      </c>
      <c r="B33" s="119"/>
      <c r="C33" s="119"/>
      <c r="D33" s="119"/>
      <c r="E33" s="119"/>
      <c r="F33" s="53"/>
      <c r="G33" s="53"/>
      <c r="H33" s="53"/>
      <c r="I33" s="53"/>
    </row>
    <row r="34" spans="1:10" ht="12.75">
      <c r="A34" s="120" t="s">
        <v>180</v>
      </c>
      <c r="B34" s="121"/>
      <c r="C34" s="121"/>
      <c r="D34" s="121"/>
      <c r="E34" s="122"/>
      <c r="F34" s="54" t="s">
        <v>183</v>
      </c>
      <c r="G34" s="54" t="s">
        <v>184</v>
      </c>
      <c r="H34" s="54" t="s">
        <v>185</v>
      </c>
      <c r="I34" s="54" t="s">
        <v>183</v>
      </c>
      <c r="J34" s="29"/>
    </row>
    <row r="35" spans="1:10" ht="12.75">
      <c r="A35" s="126"/>
      <c r="B35" s="127"/>
      <c r="C35" s="127"/>
      <c r="D35" s="127"/>
      <c r="E35" s="128"/>
      <c r="F35" s="56">
        <v>0</v>
      </c>
      <c r="G35" s="59"/>
      <c r="H35" s="59"/>
      <c r="I35" s="56">
        <f>F35</f>
        <v>0</v>
      </c>
      <c r="J35" s="28"/>
    </row>
    <row r="36" spans="1:10" ht="12.75">
      <c r="A36" s="129" t="s">
        <v>181</v>
      </c>
      <c r="B36" s="130"/>
      <c r="C36" s="130"/>
      <c r="D36" s="130"/>
      <c r="E36" s="131"/>
      <c r="F36" s="57"/>
      <c r="G36" s="60"/>
      <c r="H36" s="60"/>
      <c r="I36" s="61">
        <f>SUM(I35:I35)</f>
        <v>0</v>
      </c>
      <c r="J36" s="29"/>
    </row>
    <row r="37" spans="1:9" ht="12.75">
      <c r="A37" s="43"/>
      <c r="B37" s="43"/>
      <c r="C37" s="43"/>
      <c r="D37" s="43"/>
      <c r="E37" s="43"/>
      <c r="F37" s="43"/>
      <c r="G37" s="43"/>
      <c r="H37" s="43"/>
      <c r="I37" s="43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Čechová Jana</dc:creator>
  <cp:keywords/>
  <dc:description/>
  <cp:lastModifiedBy>Cechova</cp:lastModifiedBy>
  <cp:lastPrinted>2016-10-05T09:56:10Z</cp:lastPrinted>
  <dcterms:created xsi:type="dcterms:W3CDTF">2016-10-05T09:54:39Z</dcterms:created>
  <dcterms:modified xsi:type="dcterms:W3CDTF">2016-10-05T09:56:14Z</dcterms:modified>
  <cp:category/>
  <cp:version/>
  <cp:contentType/>
  <cp:contentStatus/>
</cp:coreProperties>
</file>