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template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worksheets/_rels/sheet3.xml.rels" ContentType="application/vnd.openxmlformats-package.relationships+xml"/>
  <Override PartName="/xl/worksheets/_rels/sheet4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_rels/drawing1.xml.rels" ContentType="application/vnd.openxmlformats-package.relationships+xml"/>
  <Override PartName="/xl/drawings/_rels/drawing2.xml.rels" ContentType="application/vnd.openxmlformats-package.relationships+xml"/>
  <Override PartName="/xl/drawings/_rels/drawing3.xml.rels" ContentType="application/vnd.openxmlformats-package.relationships+xml"/>
  <Override PartName="/xl/drawings/_rels/drawing4.xml.rels" ContentType="application/vnd.openxmlformats-package.relationships+xml"/>
  <Override PartName="/xl/sharedStrings.xml" ContentType="application/vnd.openxmlformats-officedocument.spreadsheetml.sharedStrings+xml"/>
  <Override PartName="/xl/media/image1.jpeg" ContentType="image/jpeg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Krycí list rozpočtu" sheetId="1" state="visible" r:id="rId2"/>
    <sheet name="Stavební rozpočet" sheetId="2" state="visible" r:id="rId3"/>
    <sheet name="Stavební rozpočet - součet" sheetId="3" state="visible" r:id="rId4"/>
    <sheet name="VORN" sheetId="4" state="visible" r:id="rId5"/>
  </sheets>
  <definedNames>
    <definedName function="false" hidden="false" name="vorn_sum" vbProcedure="false">VORN!$I$36</definedName>
  </definedNames>
  <calcPr iterateCount="1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<sst xmlns="http://schemas.openxmlformats.org/spreadsheetml/2006/main" count="1803" uniqueCount="574">
  <si>
    <t xml:space="preserve">Krycí list slepého rozpočtu</t>
  </si>
  <si>
    <t xml:space="preserve">Název stavby:</t>
  </si>
  <si>
    <t xml:space="preserve">Objednatel:</t>
  </si>
  <si>
    <t xml:space="preserve">IČO/DIČ:</t>
  </si>
  <si>
    <t xml:space="preserve">00259586/CZ00259586</t>
  </si>
  <si>
    <t xml:space="preserve">Druh stavby:</t>
  </si>
  <si>
    <t xml:space="preserve">Projektant:</t>
  </si>
  <si>
    <t xml:space="preserve">29090849/CZ29090849</t>
  </si>
  <si>
    <t xml:space="preserve">Lokalita:</t>
  </si>
  <si>
    <t xml:space="preserve">Zhotovitel:</t>
  </si>
  <si>
    <t xml:space="preserve">DOPLNÍ UCHAZEČ</t>
  </si>
  <si>
    <t xml:space="preserve">Začátek výstavby:</t>
  </si>
  <si>
    <t xml:space="preserve">Konec výstavby:</t>
  </si>
  <si>
    <t xml:space="preserve">Položek:</t>
  </si>
  <si>
    <t xml:space="preserve">JKSO:</t>
  </si>
  <si>
    <t xml:space="preserve">Zpracoval:</t>
  </si>
  <si>
    <t xml:space="preserve">Datum:</t>
  </si>
  <si>
    <t xml:space="preserve">Rozpočtové náklady v Kč</t>
  </si>
  <si>
    <t xml:space="preserve">A</t>
  </si>
  <si>
    <t xml:space="preserve">Základní rozpočtové náklady</t>
  </si>
  <si>
    <t xml:space="preserve">B</t>
  </si>
  <si>
    <t xml:space="preserve">Doplňkové náklady</t>
  </si>
  <si>
    <t xml:space="preserve">C</t>
  </si>
  <si>
    <t xml:space="preserve">Náklady na umístění stavby (NUS)</t>
  </si>
  <si>
    <t xml:space="preserve">HSV</t>
  </si>
  <si>
    <t xml:space="preserve">Dodávky</t>
  </si>
  <si>
    <t xml:space="preserve">Zařízení staveniště</t>
  </si>
  <si>
    <t xml:space="preserve">Montáž</t>
  </si>
  <si>
    <t xml:space="preserve">Mimostav. doprava</t>
  </si>
  <si>
    <t xml:space="preserve">PSV</t>
  </si>
  <si>
    <t xml:space="preserve">Územní vlivy</t>
  </si>
  <si>
    <t xml:space="preserve">Provozní vlivy</t>
  </si>
  <si>
    <t xml:space="preserve">"M"</t>
  </si>
  <si>
    <t xml:space="preserve">Ostatní</t>
  </si>
  <si>
    <t xml:space="preserve">Ostatní materiál</t>
  </si>
  <si>
    <t xml:space="preserve">Přesun hmot a sutí</t>
  </si>
  <si>
    <t xml:space="preserve">ZRN celkem</t>
  </si>
  <si>
    <t xml:space="preserve">DN celkem</t>
  </si>
  <si>
    <t xml:space="preserve">NUS celkem</t>
  </si>
  <si>
    <t xml:space="preserve">DN celkem z obj.</t>
  </si>
  <si>
    <t xml:space="preserve">NUS celkem z obj.</t>
  </si>
  <si>
    <t xml:space="preserve">VORN celkem</t>
  </si>
  <si>
    <t xml:space="preserve">VORN celkem z obj.</t>
  </si>
  <si>
    <t xml:space="preserve">Základ 0%</t>
  </si>
  <si>
    <t xml:space="preserve">Základ 15%</t>
  </si>
  <si>
    <t xml:space="preserve">DPH 15%</t>
  </si>
  <si>
    <t xml:space="preserve">Celkem bez DPH</t>
  </si>
  <si>
    <t xml:space="preserve">Základ 21%</t>
  </si>
  <si>
    <t xml:space="preserve">DPH 21%</t>
  </si>
  <si>
    <t xml:space="preserve">Celkem včetně DPH</t>
  </si>
  <si>
    <t xml:space="preserve">Projektant</t>
  </si>
  <si>
    <t xml:space="preserve">Objednatel</t>
  </si>
  <si>
    <t xml:space="preserve">Zhotovitel</t>
  </si>
  <si>
    <t xml:space="preserve">Datum, razítko a podpis</t>
  </si>
  <si>
    <t xml:space="preserve">Poznámka:</t>
  </si>
  <si>
    <t xml:space="preserve">Slepý stavební rozpočet</t>
  </si>
  <si>
    <t xml:space="preserve">OPRAVA ROZVODŮ VODY 6. ZŠ ŠVABINSKÉHO Sokolov II. ETAPA</t>
  </si>
  <si>
    <t xml:space="preserve">Doba výstavby:</t>
  </si>
  <si>
    <t xml:space="preserve">65 dní</t>
  </si>
  <si>
    <t xml:space="preserve">Město Sokolov</t>
  </si>
  <si>
    <t xml:space="preserve">Rekonstrukce ZTI vodovodu na základní škole</t>
  </si>
  <si>
    <t xml:space="preserve">29.06.2024</t>
  </si>
  <si>
    <t xml:space="preserve">DD Služby s.r.o.</t>
  </si>
  <si>
    <t xml:space="preserve">Sokolov</t>
  </si>
  <si>
    <t xml:space="preserve">01.09.2024</t>
  </si>
  <si>
    <t xml:space="preserve"> </t>
  </si>
  <si>
    <t xml:space="preserve">Zpracováno dne:</t>
  </si>
  <si>
    <t xml:space="preserve">15.12.2023</t>
  </si>
  <si>
    <t xml:space="preserve">David Draský</t>
  </si>
  <si>
    <t xml:space="preserve">Č</t>
  </si>
  <si>
    <t xml:space="preserve">Kód</t>
  </si>
  <si>
    <t xml:space="preserve">Zkrácený popis</t>
  </si>
  <si>
    <t xml:space="preserve">MJ</t>
  </si>
  <si>
    <t xml:space="preserve">Množství</t>
  </si>
  <si>
    <t xml:space="preserve">Cena/MJ</t>
  </si>
  <si>
    <t xml:space="preserve">Náklady (Kč)</t>
  </si>
  <si>
    <t xml:space="preserve">Cenová</t>
  </si>
  <si>
    <t xml:space="preserve">ISWORK</t>
  </si>
  <si>
    <t xml:space="preserve">GROUPCODE</t>
  </si>
  <si>
    <t xml:space="preserve">Rozměry</t>
  </si>
  <si>
    <t xml:space="preserve">(Kč)</t>
  </si>
  <si>
    <t xml:space="preserve">Dodávka</t>
  </si>
  <si>
    <t xml:space="preserve">Celkem</t>
  </si>
  <si>
    <t xml:space="preserve">soustava</t>
  </si>
  <si>
    <t xml:space="preserve">Přesuny</t>
  </si>
  <si>
    <t xml:space="preserve">Typ skupiny</t>
  </si>
  <si>
    <t xml:space="preserve">HSV mat</t>
  </si>
  <si>
    <t xml:space="preserve">HSV prac</t>
  </si>
  <si>
    <t xml:space="preserve">PSV mat</t>
  </si>
  <si>
    <t xml:space="preserve">PSV prac</t>
  </si>
  <si>
    <t xml:space="preserve">Mont mat</t>
  </si>
  <si>
    <t xml:space="preserve">Mont prac</t>
  </si>
  <si>
    <t xml:space="preserve">Ostatní mat.</t>
  </si>
  <si>
    <t xml:space="preserve">MAT</t>
  </si>
  <si>
    <t xml:space="preserve">WORK</t>
  </si>
  <si>
    <t xml:space="preserve">CELK</t>
  </si>
  <si>
    <t xml:space="preserve">II. ETAPA - PÁTEŘNÍ ROZVODY a budova B</t>
  </si>
  <si>
    <t xml:space="preserve">34</t>
  </si>
  <si>
    <t xml:space="preserve">Stěny a příčky</t>
  </si>
  <si>
    <t xml:space="preserve">SO-2</t>
  </si>
  <si>
    <t xml:space="preserve">1</t>
  </si>
  <si>
    <t xml:space="preserve">343231112R00</t>
  </si>
  <si>
    <t xml:space="preserve">Přizdívky z cihel Klinker něm. formát, tl. 115 mm</t>
  </si>
  <si>
    <t xml:space="preserve">m2</t>
  </si>
  <si>
    <t xml:space="preserve">RTS I / 2023</t>
  </si>
  <si>
    <t xml:space="preserve">34_</t>
  </si>
  <si>
    <t xml:space="preserve">SO-2_3_</t>
  </si>
  <si>
    <t xml:space="preserve">SO-2_</t>
  </si>
  <si>
    <t xml:space="preserve">2</t>
  </si>
  <si>
    <t xml:space="preserve">342263410R00</t>
  </si>
  <si>
    <t xml:space="preserve">Osazení revizních dvířek do 0,25 m2</t>
  </si>
  <si>
    <t xml:space="preserve">kus</t>
  </si>
  <si>
    <t xml:space="preserve">41</t>
  </si>
  <si>
    <t xml:space="preserve">Stropy a stropní konstrukce (pro pozemní stavby)</t>
  </si>
  <si>
    <t xml:space="preserve">3</t>
  </si>
  <si>
    <t xml:space="preserve">411387531R00</t>
  </si>
  <si>
    <t xml:space="preserve">Zabetonování otvorů 0,25 m2 ve stropech a klenbách</t>
  </si>
  <si>
    <t xml:space="preserve">41_</t>
  </si>
  <si>
    <t xml:space="preserve">SO-2_4_</t>
  </si>
  <si>
    <t xml:space="preserve">61</t>
  </si>
  <si>
    <t xml:space="preserve">Úprava povrchů vnitřní</t>
  </si>
  <si>
    <t xml:space="preserve">4</t>
  </si>
  <si>
    <t xml:space="preserve">612403388RT1</t>
  </si>
  <si>
    <t xml:space="preserve">Hrubá výplň rýh ve stěnách do 15x15cm maltou z SMS</t>
  </si>
  <si>
    <t xml:space="preserve">m</t>
  </si>
  <si>
    <t xml:space="preserve">61_</t>
  </si>
  <si>
    <t xml:space="preserve">SO-2_6_</t>
  </si>
  <si>
    <t xml:space="preserve">713</t>
  </si>
  <si>
    <t xml:space="preserve">Izolace tepelné</t>
  </si>
  <si>
    <t xml:space="preserve">5</t>
  </si>
  <si>
    <t xml:space="preserve">713551168RU1</t>
  </si>
  <si>
    <t xml:space="preserve">Protipožární přepážka typ P, požární odolnost EI 120, průřez do 0,8 m2</t>
  </si>
  <si>
    <t xml:space="preserve">7</t>
  </si>
  <si>
    <t xml:space="preserve">713_</t>
  </si>
  <si>
    <t xml:space="preserve">SO-2_71_</t>
  </si>
  <si>
    <t xml:space="preserve">722</t>
  </si>
  <si>
    <t xml:space="preserve">Vnitřní vodovod</t>
  </si>
  <si>
    <t xml:space="preserve">6</t>
  </si>
  <si>
    <t xml:space="preserve">722130804R00</t>
  </si>
  <si>
    <t xml:space="preserve">Demontáž potrubí ocelových závitových, DN 65 mm</t>
  </si>
  <si>
    <t xml:space="preserve">722_</t>
  </si>
  <si>
    <t xml:space="preserve">SO-2_72_</t>
  </si>
  <si>
    <t xml:space="preserve">722130803R00</t>
  </si>
  <si>
    <t xml:space="preserve">Demontáž potrubí ocelových závitových, DN 50 mm</t>
  </si>
  <si>
    <t xml:space="preserve">8</t>
  </si>
  <si>
    <t xml:space="preserve">722170804R00</t>
  </si>
  <si>
    <t xml:space="preserve">Demontáž rozvodů vody z plastů do D 63 mm</t>
  </si>
  <si>
    <t xml:space="preserve">9</t>
  </si>
  <si>
    <t xml:space="preserve">722170801R00</t>
  </si>
  <si>
    <t xml:space="preserve">Demontáž rozvodů vody z plastů do D 32 mm</t>
  </si>
  <si>
    <t xml:space="preserve">10</t>
  </si>
  <si>
    <t xml:space="preserve">722220861R00</t>
  </si>
  <si>
    <t xml:space="preserve">Demontáž armatur s dvěma závity G 3/4"</t>
  </si>
  <si>
    <t xml:space="preserve">11</t>
  </si>
  <si>
    <t xml:space="preserve">722220863R00</t>
  </si>
  <si>
    <t xml:space="preserve">Demontáž armatur s dvěma závity G 6/4"</t>
  </si>
  <si>
    <t xml:space="preserve">12</t>
  </si>
  <si>
    <t xml:space="preserve">722130805R00</t>
  </si>
  <si>
    <t xml:space="preserve">Demontáž potrubí ocelových závitových, DN 80 mm</t>
  </si>
  <si>
    <t xml:space="preserve">13</t>
  </si>
  <si>
    <t xml:space="preserve">722178617R00</t>
  </si>
  <si>
    <t xml:space="preserve">Potrubí vícevrstvé vodovodní  PP-RCT/AL/PP-R STABI BETA Instaplast, polyfuzně svařené, D 75 x 8,4 mm</t>
  </si>
  <si>
    <t xml:space="preserve">14</t>
  </si>
  <si>
    <t xml:space="preserve">722178616R00</t>
  </si>
  <si>
    <t xml:space="preserve">Potrubí vícevrstvé vodovodní  PP-RCT/AL/PP-R STABI BETA Instaplast, polyfuzně svařené, D 63 x 7,1 mm</t>
  </si>
  <si>
    <t xml:space="preserve">15</t>
  </si>
  <si>
    <t xml:space="preserve">722178615R00</t>
  </si>
  <si>
    <t xml:space="preserve">Potrubí vícevrstvé vodovodní  PP-RCT/AL/PP-R STABI BETA Instaplast, polyfuzně svařené, D 50 x 5,6 mm</t>
  </si>
  <si>
    <t xml:space="preserve">16</t>
  </si>
  <si>
    <t xml:space="preserve">722178614R00</t>
  </si>
  <si>
    <t xml:space="preserve">Potrubí vícevrstvé vodovodní  PP-RCT/AL/PP-R STABI BETA Instaplast, polyfuzně svařené, D 40 x 4,5 mm</t>
  </si>
  <si>
    <t xml:space="preserve">17</t>
  </si>
  <si>
    <t xml:space="preserve">722178613R00</t>
  </si>
  <si>
    <t xml:space="preserve">Potrubí vícevrstvé vodovodní  PP-RCT/AL/PP-R STABI BETA Instaplast, polyfuzně svařené, D 32 x 3,6 mm</t>
  </si>
  <si>
    <t xml:space="preserve">18</t>
  </si>
  <si>
    <t xml:space="preserve">722178612R00</t>
  </si>
  <si>
    <t xml:space="preserve">Potrubí vícevrstvé vodovodní  PP-RCT/AL/PP-R STABI BETA Instaplast, polyfuzně svařené, D 25 x 2,8 mm</t>
  </si>
  <si>
    <t xml:space="preserve">19</t>
  </si>
  <si>
    <t xml:space="preserve">722178611R00</t>
  </si>
  <si>
    <t xml:space="preserve">Potrubí vícevrstvé vodovodní  PP-RCT/AL/PP-R STABI BETA Instaplast, polyfuzně svařené, D 20 x 2,8 mm</t>
  </si>
  <si>
    <t xml:space="preserve">20</t>
  </si>
  <si>
    <t xml:space="preserve">722174918R00</t>
  </si>
  <si>
    <t xml:space="preserve">Sestavení plastového rozvodu vody D 75 mm</t>
  </si>
  <si>
    <t xml:space="preserve">21</t>
  </si>
  <si>
    <t xml:space="preserve">722174917R00</t>
  </si>
  <si>
    <t xml:space="preserve">Sestavení plastového rozvodu vody D 63 mm</t>
  </si>
  <si>
    <t xml:space="preserve">22</t>
  </si>
  <si>
    <t xml:space="preserve">722174916R00</t>
  </si>
  <si>
    <t xml:space="preserve">Sestavení plastového rozvodu vody D 50 mm</t>
  </si>
  <si>
    <t xml:space="preserve">23</t>
  </si>
  <si>
    <t xml:space="preserve">722174915R00</t>
  </si>
  <si>
    <t xml:space="preserve">Sestavení plastového rozvodu vody D 40 mm</t>
  </si>
  <si>
    <t xml:space="preserve">24</t>
  </si>
  <si>
    <t xml:space="preserve">722174914R00</t>
  </si>
  <si>
    <t xml:space="preserve">Sestavení plastového rozvodu vody D 32 mm</t>
  </si>
  <si>
    <t xml:space="preserve">25</t>
  </si>
  <si>
    <t xml:space="preserve">722174913R00</t>
  </si>
  <si>
    <t xml:space="preserve">Sestavení plastového rozvodu vody D 25 mm</t>
  </si>
  <si>
    <t xml:space="preserve">26</t>
  </si>
  <si>
    <t xml:space="preserve">722174912R00</t>
  </si>
  <si>
    <t xml:space="preserve">Sestavení plastového rozvodu vody D 20 mm</t>
  </si>
  <si>
    <t xml:space="preserve">27</t>
  </si>
  <si>
    <t xml:space="preserve">722239115R00</t>
  </si>
  <si>
    <t xml:space="preserve">Montáž kompenzátoru vodovodního, závitového, vlnovcového, osového G 6/4"</t>
  </si>
  <si>
    <t xml:space="preserve">28</t>
  </si>
  <si>
    <t xml:space="preserve">722269114R00</t>
  </si>
  <si>
    <t xml:space="preserve">Montáž vodoměru závitového jdnovt. suchob. G5/4"</t>
  </si>
  <si>
    <t xml:space="preserve">29</t>
  </si>
  <si>
    <t xml:space="preserve">722265163R00</t>
  </si>
  <si>
    <t xml:space="preserve">Vodoměr domovní TV Sensus AN 90 DN 20 x 190 mm, Qn 2,5</t>
  </si>
  <si>
    <t xml:space="preserve">30</t>
  </si>
  <si>
    <t xml:space="preserve">722235865R00</t>
  </si>
  <si>
    <t xml:space="preserve">Kompenzátor vodovodní, pryžový, IVAR.BRA.T8.500, DN 50 mm</t>
  </si>
  <si>
    <t xml:space="preserve">31</t>
  </si>
  <si>
    <t xml:space="preserve">722235118R00</t>
  </si>
  <si>
    <t xml:space="preserve">Kohout vodovodní, kulový, vnitřní-vnitřní závit, IVAR PERFECTA, DN 80 mm</t>
  </si>
  <si>
    <t xml:space="preserve">32</t>
  </si>
  <si>
    <t xml:space="preserve">722235117R00</t>
  </si>
  <si>
    <t xml:space="preserve">Kohout vodovodní, kulový, vnitřní-vnitřní závit, IVAR PERFECTA, DN 65 mm</t>
  </si>
  <si>
    <t xml:space="preserve">33</t>
  </si>
  <si>
    <t xml:space="preserve">722235116R00</t>
  </si>
  <si>
    <t xml:space="preserve">Kohout vodovodní, kulový, vnitřní-vnitřní závit, IVAR PERFECTA, DN 50 mm</t>
  </si>
  <si>
    <t xml:space="preserve">722235125R00</t>
  </si>
  <si>
    <t xml:space="preserve">Kohout vodovodní, kulový, vnitřní-vnitřní závit, IVAR.KK 51, DN 40 mm</t>
  </si>
  <si>
    <t xml:space="preserve">35</t>
  </si>
  <si>
    <t xml:space="preserve">722235647R00</t>
  </si>
  <si>
    <t xml:space="preserve">Klapka vodovodní, zpětná, vodorovná, CLAPET FIV.08406, DN 65 mm</t>
  </si>
  <si>
    <t xml:space="preserve">36</t>
  </si>
  <si>
    <t xml:space="preserve">722235646R00</t>
  </si>
  <si>
    <t xml:space="preserve">Klapka vodovodní, zpětná, vodorovná, CLAPET FIV.08406, DN 50 mm</t>
  </si>
  <si>
    <t xml:space="preserve">37</t>
  </si>
  <si>
    <t xml:space="preserve">722235645R00</t>
  </si>
  <si>
    <t xml:space="preserve">Klapka vodovodní, zpětná, vodorovná, CLAPET FIV.08406, DN 40 mm</t>
  </si>
  <si>
    <t xml:space="preserve">38</t>
  </si>
  <si>
    <t xml:space="preserve">722202448R00</t>
  </si>
  <si>
    <t xml:space="preserve">Kohout kulový rozebíratelný s výpustí PP-R INSTAPLAST, D 75 mm</t>
  </si>
  <si>
    <t xml:space="preserve">39</t>
  </si>
  <si>
    <t xml:space="preserve">722202447R00</t>
  </si>
  <si>
    <t xml:space="preserve">Kohout kulový rozebíratelný s výpustí PP-R INSTAPLAST, D 63 mm</t>
  </si>
  <si>
    <t xml:space="preserve">40</t>
  </si>
  <si>
    <t xml:space="preserve">722202446R00</t>
  </si>
  <si>
    <t xml:space="preserve">Kohout kulový rozebíratelný s výpustí PP-R INSTAPLAST, D 50 mm</t>
  </si>
  <si>
    <t xml:space="preserve">722202435R00</t>
  </si>
  <si>
    <t xml:space="preserve">Kohout kulový rozebíratelný PP-R INSTAPLAST, D 40 mm</t>
  </si>
  <si>
    <t xml:space="preserve">42</t>
  </si>
  <si>
    <t xml:space="preserve">722172966R00</t>
  </si>
  <si>
    <t xml:space="preserve">Vsazení odbočky do plastového potrubí polyfuzí včetně T-kusu D 50 mm, vodovod</t>
  </si>
  <si>
    <t xml:space="preserve">43</t>
  </si>
  <si>
    <t xml:space="preserve">722172968R00</t>
  </si>
  <si>
    <t xml:space="preserve">Vsazení odbočky do plastového potrubí polyfuzí včetně T-kusu D 75 mm, vodovod</t>
  </si>
  <si>
    <t xml:space="preserve">44</t>
  </si>
  <si>
    <t xml:space="preserve">722175128R00</t>
  </si>
  <si>
    <t xml:space="preserve">Montáž plastových vodovodních tvarovek, polyfuzně svařovaných, dva spoje, D 75 mm</t>
  </si>
  <si>
    <t xml:space="preserve">45</t>
  </si>
  <si>
    <t xml:space="preserve">722175127R00</t>
  </si>
  <si>
    <t xml:space="preserve">Montáž plastových vodovodních tvarovek, polyfuzně svařovaných, dva spoje, D 63 mm</t>
  </si>
  <si>
    <t xml:space="preserve">46</t>
  </si>
  <si>
    <t xml:space="preserve">722175126R00</t>
  </si>
  <si>
    <t xml:space="preserve">Montáž plastových vodovodních tvarovek, polyfuzně svařovaných, dva spoje, D 50 mm</t>
  </si>
  <si>
    <t xml:space="preserve">47</t>
  </si>
  <si>
    <t xml:space="preserve">48</t>
  </si>
  <si>
    <t xml:space="preserve">49</t>
  </si>
  <si>
    <t xml:space="preserve">722175125R00</t>
  </si>
  <si>
    <t xml:space="preserve">Montáž plastových vodovodních tvarovek, polyfuzně svařovaných, dva spoje, D 40 mm</t>
  </si>
  <si>
    <t xml:space="preserve">50</t>
  </si>
  <si>
    <t xml:space="preserve">722175124R00</t>
  </si>
  <si>
    <t xml:space="preserve">Montáž plastových vodovodních tvarovek, polyfuzně svařovaných, dva spoje, D 32 mm</t>
  </si>
  <si>
    <t xml:space="preserve">51</t>
  </si>
  <si>
    <t xml:space="preserve">722175123R00</t>
  </si>
  <si>
    <t xml:space="preserve">Montáž plastových vodovodních tvarovek, polyfuzně svařovaných, dva spoje, D 25 mm</t>
  </si>
  <si>
    <t xml:space="preserve">52</t>
  </si>
  <si>
    <t xml:space="preserve">722175122R00</t>
  </si>
  <si>
    <t xml:space="preserve">Montáž plastových vodovodních tvarovek, polyfuzně svařovaných, dva spoje, D 20 mm</t>
  </si>
  <si>
    <t xml:space="preserve">53</t>
  </si>
  <si>
    <t xml:space="preserve">722172964R00</t>
  </si>
  <si>
    <t xml:space="preserve">Vsazení odbočky do plastového potrubí polyfuzí včetně T-kusu D 32 mm, vodovod</t>
  </si>
  <si>
    <t xml:space="preserve">54</t>
  </si>
  <si>
    <t xml:space="preserve">722235114R00</t>
  </si>
  <si>
    <t xml:space="preserve">Kohout vodovodní, kulový, vnitřní-vnitřní závit, IVAR PERFECTA, DN 32 mm</t>
  </si>
  <si>
    <t xml:space="preserve">55</t>
  </si>
  <si>
    <t xml:space="preserve">722235113R00</t>
  </si>
  <si>
    <t xml:space="preserve">Kohout vodovodní, kulový, vnitřní-vnitřní závit, IVAR PERFECTA, DN 25 mm</t>
  </si>
  <si>
    <t xml:space="preserve">56</t>
  </si>
  <si>
    <t xml:space="preserve">722235112R00</t>
  </si>
  <si>
    <t xml:space="preserve">Kohout vodovodní, kulový, vnitřní-vnitřní závit, IVAR PERFECTA, DN 20 mm</t>
  </si>
  <si>
    <t xml:space="preserve">57</t>
  </si>
  <si>
    <t xml:space="preserve">722235644R00</t>
  </si>
  <si>
    <t xml:space="preserve">Klapka vodovodní, zpětná, vodorovná, CLAPET FIV.08406, DN 32 mm</t>
  </si>
  <si>
    <t xml:space="preserve">58</t>
  </si>
  <si>
    <t xml:space="preserve">722235643R00</t>
  </si>
  <si>
    <t xml:space="preserve">Klapka vodovodní, zpětná, vodorovná, CLAPET FIV.08406, DN 25 mm</t>
  </si>
  <si>
    <t xml:space="preserve">59</t>
  </si>
  <si>
    <t xml:space="preserve">722202444R00</t>
  </si>
  <si>
    <t xml:space="preserve">Kohout kulový rozebíratelný s výpustí PP-R INSTAPLAST, D 32 mm</t>
  </si>
  <si>
    <t xml:space="preserve">60</t>
  </si>
  <si>
    <t xml:space="preserve">722202443R00</t>
  </si>
  <si>
    <t xml:space="preserve">Kohout kulový rozebíratelný s výpustí PP-R INSTAPLAST, D 25 mm</t>
  </si>
  <si>
    <t xml:space="preserve">722235813R00</t>
  </si>
  <si>
    <t xml:space="preserve">Ventil redukční s manometrem PN 25, IVAR.5350, DN 25 mm</t>
  </si>
  <si>
    <t xml:space="preserve">62</t>
  </si>
  <si>
    <t xml:space="preserve">722202221R00</t>
  </si>
  <si>
    <t xml:space="preserve">Komplet nástěnný MZD PP-R INSTAPLAST, D 20 mm x R 1/2"</t>
  </si>
  <si>
    <t xml:space="preserve">63</t>
  </si>
  <si>
    <t xml:space="preserve">722202216R00</t>
  </si>
  <si>
    <t xml:space="preserve">Nástěnka MZD PP-R INSTAPLAST, D 25 mm x R 1/2"</t>
  </si>
  <si>
    <t xml:space="preserve">64</t>
  </si>
  <si>
    <t xml:space="preserve">65</t>
  </si>
  <si>
    <t xml:space="preserve">722172965R00</t>
  </si>
  <si>
    <t xml:space="preserve">Vsazení odbočky do plastového potrubí polyfuzí včetně T-kusu D 40 mm, vodovod</t>
  </si>
  <si>
    <t xml:space="preserve">66</t>
  </si>
  <si>
    <t xml:space="preserve">67</t>
  </si>
  <si>
    <t xml:space="preserve">68</t>
  </si>
  <si>
    <t xml:space="preserve">722235115R00</t>
  </si>
  <si>
    <t xml:space="preserve">Kohout vodovodní, kulový, vnitřní-vnitřní závit, IVAR PERFECTA, DN 40 mm</t>
  </si>
  <si>
    <t xml:space="preserve">69</t>
  </si>
  <si>
    <t xml:space="preserve">70</t>
  </si>
  <si>
    <t xml:space="preserve">71</t>
  </si>
  <si>
    <t xml:space="preserve">72</t>
  </si>
  <si>
    <t xml:space="preserve">73</t>
  </si>
  <si>
    <t xml:space="preserve">74</t>
  </si>
  <si>
    <t xml:space="preserve">722202445R00</t>
  </si>
  <si>
    <t xml:space="preserve">Kohout kulový rozebíratelný s výpustí PP-R INSTAPLAST, D 40 mm</t>
  </si>
  <si>
    <t xml:space="preserve">75</t>
  </si>
  <si>
    <t xml:space="preserve">76</t>
  </si>
  <si>
    <t xml:space="preserve">77</t>
  </si>
  <si>
    <t xml:space="preserve">78</t>
  </si>
  <si>
    <t xml:space="preserve">722254115RT2</t>
  </si>
  <si>
    <t xml:space="preserve">Skříň hydrantová s výzbrojí D 25 mm (hadice Pyrotex)</t>
  </si>
  <si>
    <t xml:space="preserve">soubor</t>
  </si>
  <si>
    <t xml:space="preserve">79</t>
  </si>
  <si>
    <t xml:space="preserve">722235814R00</t>
  </si>
  <si>
    <t xml:space="preserve">Ventil redukční s manometrem PN 25, IVAR.5350, DN 32 mm</t>
  </si>
  <si>
    <t xml:space="preserve">80</t>
  </si>
  <si>
    <t xml:space="preserve">722181215RY5</t>
  </si>
  <si>
    <t xml:space="preserve">Izolace návleková  MIRELON PRO tl. stěny 25 mm</t>
  </si>
  <si>
    <t xml:space="preserve">81</t>
  </si>
  <si>
    <t xml:space="preserve">722181215RY3</t>
  </si>
  <si>
    <t xml:space="preserve">82</t>
  </si>
  <si>
    <t xml:space="preserve">722181215RW6</t>
  </si>
  <si>
    <t xml:space="preserve">83</t>
  </si>
  <si>
    <t xml:space="preserve">722181215RV9</t>
  </si>
  <si>
    <t xml:space="preserve">84</t>
  </si>
  <si>
    <t xml:space="preserve">722181215RU1</t>
  </si>
  <si>
    <t xml:space="preserve">85</t>
  </si>
  <si>
    <t xml:space="preserve">722181214RT8</t>
  </si>
  <si>
    <t xml:space="preserve">Izolace návleková MIRELON PRO tl. stěny 20 mm</t>
  </si>
  <si>
    <t xml:space="preserve">86</t>
  </si>
  <si>
    <t xml:space="preserve">722181214RT7</t>
  </si>
  <si>
    <t xml:space="preserve">87</t>
  </si>
  <si>
    <t xml:space="preserve">722182096R00</t>
  </si>
  <si>
    <t xml:space="preserve">Příplatek za montáž izolačních tvarovek DN 80 mm</t>
  </si>
  <si>
    <t xml:space="preserve">88</t>
  </si>
  <si>
    <t xml:space="preserve">722182094R00</t>
  </si>
  <si>
    <t xml:space="preserve">Příplatek za montáž izolačních tvarovek DN 40 mm</t>
  </si>
  <si>
    <t xml:space="preserve">89</t>
  </si>
  <si>
    <t xml:space="preserve">722249104R00</t>
  </si>
  <si>
    <t xml:space="preserve">Montáž armatury požární - hydrant  G 6/4"</t>
  </si>
  <si>
    <t xml:space="preserve">90</t>
  </si>
  <si>
    <t xml:space="preserve">91</t>
  </si>
  <si>
    <t xml:space="preserve">722259201R00</t>
  </si>
  <si>
    <t xml:space="preserve">Montáž hydrantového systému D25</t>
  </si>
  <si>
    <t xml:space="preserve">92</t>
  </si>
  <si>
    <t xml:space="preserve">722259991R00</t>
  </si>
  <si>
    <t xml:space="preserve">Tlaková zkouška nástěnného požárního hydrantu</t>
  </si>
  <si>
    <t xml:space="preserve">93</t>
  </si>
  <si>
    <t xml:space="preserve">722259994R00</t>
  </si>
  <si>
    <t xml:space="preserve">Revize nástěnného požárního hydrantu</t>
  </si>
  <si>
    <t xml:space="preserve">94</t>
  </si>
  <si>
    <t xml:space="preserve">722259995R00</t>
  </si>
  <si>
    <t xml:space="preserve">Vystavení revizní zprávy - nástěnný požární hydrant</t>
  </si>
  <si>
    <t xml:space="preserve">95</t>
  </si>
  <si>
    <t xml:space="preserve">722290234R00</t>
  </si>
  <si>
    <t xml:space="preserve">Proplach a dezinfekce vodovodního potrubí DN 80 mm</t>
  </si>
  <si>
    <t xml:space="preserve">96</t>
  </si>
  <si>
    <t xml:space="preserve">722280108R00</t>
  </si>
  <si>
    <t xml:space="preserve">Tlaková zkouška vodovodního potrubí DN 50 mm</t>
  </si>
  <si>
    <t xml:space="preserve">725</t>
  </si>
  <si>
    <t xml:space="preserve">Zařizovací předměty</t>
  </si>
  <si>
    <t xml:space="preserve">97</t>
  </si>
  <si>
    <t xml:space="preserve">725210913R00</t>
  </si>
  <si>
    <t xml:space="preserve">Demontáž a zpětná montáž umyvadla s 2 stojánkové ventily</t>
  </si>
  <si>
    <t xml:space="preserve">725_</t>
  </si>
  <si>
    <t xml:space="preserve">98</t>
  </si>
  <si>
    <t xml:space="preserve">725110811R00</t>
  </si>
  <si>
    <t xml:space="preserve">Demontáž klozetů splachovacích</t>
  </si>
  <si>
    <t xml:space="preserve">99</t>
  </si>
  <si>
    <t xml:space="preserve">725130811R00</t>
  </si>
  <si>
    <t xml:space="preserve">Demontáž pisoárové nádrže + 1 stání</t>
  </si>
  <si>
    <t xml:space="preserve">100</t>
  </si>
  <si>
    <t xml:space="preserve">725706811R00</t>
  </si>
  <si>
    <t xml:space="preserve">Demontáž dřezů, výlevek, proplachovacích misek kameninových, jednoduchých</t>
  </si>
  <si>
    <t xml:space="preserve">101</t>
  </si>
  <si>
    <t xml:space="preserve">725230811R00</t>
  </si>
  <si>
    <t xml:space="preserve">Demontáž bidetů  z diturvitu</t>
  </si>
  <si>
    <t xml:space="preserve">102</t>
  </si>
  <si>
    <t xml:space="preserve">725017164R00</t>
  </si>
  <si>
    <t xml:space="preserve">Umyvadlo na šrouby LYRA Plus, 650 x 520 mm, bílé</t>
  </si>
  <si>
    <t xml:space="preserve">103</t>
  </si>
  <si>
    <t xml:space="preserve">725012121RT1</t>
  </si>
  <si>
    <t xml:space="preserve">Klozet bez nádrže ROMAN, ploché splachování, odpad vodorovný</t>
  </si>
  <si>
    <t xml:space="preserve">104</t>
  </si>
  <si>
    <t xml:space="preserve">725016103R00</t>
  </si>
  <si>
    <t xml:space="preserve">Pisoár DOMINO 4110.1 s oplachovovacím ventilem, bílý</t>
  </si>
  <si>
    <t xml:space="preserve">105</t>
  </si>
  <si>
    <t xml:space="preserve">725019101R00</t>
  </si>
  <si>
    <t xml:space="preserve">Výlevka stojící MIRA 5104.6 s plastovou mřížkou</t>
  </si>
  <si>
    <t xml:space="preserve">106</t>
  </si>
  <si>
    <t xml:space="preserve">725015171R00</t>
  </si>
  <si>
    <t xml:space="preserve">Bidet stojatý MIO, bílý, 1 otvor pro baterii</t>
  </si>
  <si>
    <t xml:space="preserve">107</t>
  </si>
  <si>
    <t xml:space="preserve">725980113R00</t>
  </si>
  <si>
    <t xml:space="preserve">Dvířka revizní plastová 400 x 400 mm</t>
  </si>
  <si>
    <t xml:space="preserve">733</t>
  </si>
  <si>
    <t xml:space="preserve">Rozvod potrubí</t>
  </si>
  <si>
    <t xml:space="preserve">108</t>
  </si>
  <si>
    <t xml:space="preserve">733190109R00</t>
  </si>
  <si>
    <t xml:space="preserve">Tlaková zkouška potrubí  DN 65</t>
  </si>
  <si>
    <t xml:space="preserve">733_</t>
  </si>
  <si>
    <t xml:space="preserve">SO-2_73_</t>
  </si>
  <si>
    <t xml:space="preserve">109</t>
  </si>
  <si>
    <t xml:space="preserve">733190107R00</t>
  </si>
  <si>
    <t xml:space="preserve">Tlaková zkouška potrubí  DN 40</t>
  </si>
  <si>
    <t xml:space="preserve">110</t>
  </si>
  <si>
    <t xml:space="preserve">733190106R00</t>
  </si>
  <si>
    <t xml:space="preserve">Tlaková zkouška potrubí  DN 32</t>
  </si>
  <si>
    <t xml:space="preserve">781</t>
  </si>
  <si>
    <t xml:space="preserve">Obklady (keramické)</t>
  </si>
  <si>
    <t xml:space="preserve">111</t>
  </si>
  <si>
    <t xml:space="preserve">781101210R00</t>
  </si>
  <si>
    <t xml:space="preserve">Penetrace podkladu pod obklady</t>
  </si>
  <si>
    <t xml:space="preserve">781_</t>
  </si>
  <si>
    <t xml:space="preserve">SO-2_78_</t>
  </si>
  <si>
    <t xml:space="preserve">112</t>
  </si>
  <si>
    <t xml:space="preserve">781475114R00</t>
  </si>
  <si>
    <t xml:space="preserve">Obklad vnitřní stěn keramický, do tmele, 20x20 cm</t>
  </si>
  <si>
    <t xml:space="preserve">Ostatní konstrukce a práce na trubním vedení</t>
  </si>
  <si>
    <t xml:space="preserve">113</t>
  </si>
  <si>
    <t xml:space="preserve">892241111R00</t>
  </si>
  <si>
    <t xml:space="preserve">Tlaková zkouška vodovodního potrubí DN 80</t>
  </si>
  <si>
    <t xml:space="preserve">89_</t>
  </si>
  <si>
    <t xml:space="preserve">SO-2_8_</t>
  </si>
  <si>
    <t xml:space="preserve">Bourání konstrukcí</t>
  </si>
  <si>
    <t xml:space="preserve">114</t>
  </si>
  <si>
    <t xml:space="preserve">962031116R00</t>
  </si>
  <si>
    <t xml:space="preserve">Bourání příček z cihel pálených plných tl. 140 mm</t>
  </si>
  <si>
    <t xml:space="preserve">96_</t>
  </si>
  <si>
    <t xml:space="preserve">SO-2_9_</t>
  </si>
  <si>
    <t xml:space="preserve">115</t>
  </si>
  <si>
    <t xml:space="preserve">965081723R00</t>
  </si>
  <si>
    <t xml:space="preserve">Bourání dlažeb kamenin. tl. do 25 mm, pl.nad 1 m2</t>
  </si>
  <si>
    <t xml:space="preserve">116</t>
  </si>
  <si>
    <t xml:space="preserve">969011131R00</t>
  </si>
  <si>
    <t xml:space="preserve">Vybourání vodovod., plynového vedení DN do 125 mm</t>
  </si>
  <si>
    <t xml:space="preserve">Prorážení otvorů a ostatní bourací práce</t>
  </si>
  <si>
    <t xml:space="preserve">117</t>
  </si>
  <si>
    <t xml:space="preserve">972033371R00</t>
  </si>
  <si>
    <t xml:space="preserve">Vybourání otvorů cih.klenba pl. 0,25 m2, tl. 45 cm</t>
  </si>
  <si>
    <t xml:space="preserve">97_</t>
  </si>
  <si>
    <t xml:space="preserve">118</t>
  </si>
  <si>
    <t xml:space="preserve">974031165R00</t>
  </si>
  <si>
    <t xml:space="preserve">Vysekání rýh ve zdi cihelné 15 x 20 cm</t>
  </si>
  <si>
    <t xml:space="preserve">H722</t>
  </si>
  <si>
    <t xml:space="preserve">119</t>
  </si>
  <si>
    <t xml:space="preserve">998722102R00</t>
  </si>
  <si>
    <t xml:space="preserve">Přesun hmot pro vnitřní vodovod, výšky do 12 m</t>
  </si>
  <si>
    <t xml:space="preserve">t</t>
  </si>
  <si>
    <t xml:space="preserve">H722_</t>
  </si>
  <si>
    <t xml:space="preserve">M21</t>
  </si>
  <si>
    <t xml:space="preserve">Elektromontáže</t>
  </si>
  <si>
    <t xml:space="preserve">120</t>
  </si>
  <si>
    <t xml:space="preserve">210020953RT2</t>
  </si>
  <si>
    <t xml:space="preserve">Tabulka informační - popis armatur</t>
  </si>
  <si>
    <t xml:space="preserve">M21_</t>
  </si>
  <si>
    <t xml:space="preserve">S</t>
  </si>
  <si>
    <t xml:space="preserve">Přesuny sutí</t>
  </si>
  <si>
    <t xml:space="preserve">121</t>
  </si>
  <si>
    <t xml:space="preserve">979011221R00</t>
  </si>
  <si>
    <t xml:space="preserve">Svislá doprava suti a vybour. hmot za 1.PP nošením</t>
  </si>
  <si>
    <t xml:space="preserve">S_</t>
  </si>
  <si>
    <t xml:space="preserve">122</t>
  </si>
  <si>
    <t xml:space="preserve">979082212R00</t>
  </si>
  <si>
    <t xml:space="preserve">Vodorovná doprava suti po suchu do 50 m</t>
  </si>
  <si>
    <t xml:space="preserve">123</t>
  </si>
  <si>
    <t xml:space="preserve">979087313R00</t>
  </si>
  <si>
    <t xml:space="preserve">Nakládání vybouraných trub na dopravní prostředek</t>
  </si>
  <si>
    <t xml:space="preserve">124</t>
  </si>
  <si>
    <t xml:space="preserve">979086213R00</t>
  </si>
  <si>
    <t xml:space="preserve">Nakládání vybouraných hmot na dopravní prostředek</t>
  </si>
  <si>
    <t xml:space="preserve">125</t>
  </si>
  <si>
    <t xml:space="preserve">979087392R00</t>
  </si>
  <si>
    <t xml:space="preserve">Příplatek za nošení vyb. hmot každých dalších 10 m</t>
  </si>
  <si>
    <t xml:space="preserve">126</t>
  </si>
  <si>
    <t xml:space="preserve">979091211R00</t>
  </si>
  <si>
    <t xml:space="preserve">Vodorovné přemístění suti do 7 km</t>
  </si>
  <si>
    <t xml:space="preserve">127</t>
  </si>
  <si>
    <t xml:space="preserve">979093111R00</t>
  </si>
  <si>
    <t xml:space="preserve">Uložení suti na skládku bez zhutnění</t>
  </si>
  <si>
    <t xml:space="preserve">128</t>
  </si>
  <si>
    <t xml:space="preserve">979981104R00</t>
  </si>
  <si>
    <t xml:space="preserve">Kontejner, přistavení na 24 h, odvoz a likvidace, suť bez příměsí, kapacita 9 t</t>
  </si>
  <si>
    <t xml:space="preserve">129</t>
  </si>
  <si>
    <t xml:space="preserve">979990101R00</t>
  </si>
  <si>
    <t xml:space="preserve">Poplatek za uložení směsi betonu a cihel skupina 170101 a 170102</t>
  </si>
  <si>
    <t xml:space="preserve">130</t>
  </si>
  <si>
    <t xml:space="preserve">979990191R00</t>
  </si>
  <si>
    <t xml:space="preserve">Poplatek za uložení suti - plastové výrobky, skupina odpadu 170203</t>
  </si>
  <si>
    <t xml:space="preserve">131</t>
  </si>
  <si>
    <t xml:space="preserve">979990265R00</t>
  </si>
  <si>
    <t xml:space="preserve">Poplatek za uložení směsné stavební a demoliční suti s obsahem nebezpečných látek</t>
  </si>
  <si>
    <t xml:space="preserve">132</t>
  </si>
  <si>
    <t xml:space="preserve">979011311R00</t>
  </si>
  <si>
    <t xml:space="preserve">Svislá doprava suti a vybouraných hmot shozem</t>
  </si>
  <si>
    <t xml:space="preserve">133</t>
  </si>
  <si>
    <t xml:space="preserve">28654215</t>
  </si>
  <si>
    <t xml:space="preserve">Redukce vnitřní/vnější PPR d 75x63 mm</t>
  </si>
  <si>
    <t xml:space="preserve">0</t>
  </si>
  <si>
    <t xml:space="preserve">Z99999_</t>
  </si>
  <si>
    <t xml:space="preserve">SO-2_Z_</t>
  </si>
  <si>
    <t xml:space="preserve">134</t>
  </si>
  <si>
    <t xml:space="preserve">286542142</t>
  </si>
  <si>
    <t xml:space="preserve">Redukce vnitřní/vnější PPR d 75x50 mm</t>
  </si>
  <si>
    <t xml:space="preserve">135</t>
  </si>
  <si>
    <t xml:space="preserve">28654013</t>
  </si>
  <si>
    <t xml:space="preserve">Koleno 90° PPR  D 75 mm</t>
  </si>
  <si>
    <t xml:space="preserve">136</t>
  </si>
  <si>
    <t xml:space="preserve">28654012</t>
  </si>
  <si>
    <t xml:space="preserve">Koleno 90° PPR  D 63 mm</t>
  </si>
  <si>
    <t xml:space="preserve">137</t>
  </si>
  <si>
    <t xml:space="preserve">28654010</t>
  </si>
  <si>
    <t xml:space="preserve">Koleno 90° PPR  D 50 mm</t>
  </si>
  <si>
    <t xml:space="preserve">138</t>
  </si>
  <si>
    <t xml:space="preserve">139</t>
  </si>
  <si>
    <t xml:space="preserve">28654205</t>
  </si>
  <si>
    <t xml:space="preserve">Redukce vnitřní/vnější PPR d 50x32 mm</t>
  </si>
  <si>
    <t xml:space="preserve">140</t>
  </si>
  <si>
    <t xml:space="preserve">286542022</t>
  </si>
  <si>
    <t xml:space="preserve">Redukce vnitřní/vnější PPR d 40x25 mm</t>
  </si>
  <si>
    <t xml:space="preserve">141</t>
  </si>
  <si>
    <t xml:space="preserve">28654006</t>
  </si>
  <si>
    <t xml:space="preserve">Koleno 90° PPR  D 32 mm</t>
  </si>
  <si>
    <t xml:space="preserve">142</t>
  </si>
  <si>
    <t xml:space="preserve">28654004</t>
  </si>
  <si>
    <t xml:space="preserve">Koleno 90° PPR  D 25 mm</t>
  </si>
  <si>
    <t xml:space="preserve">143</t>
  </si>
  <si>
    <t xml:space="preserve">28654002</t>
  </si>
  <si>
    <t xml:space="preserve">Koleno 90° PPR  D 20 mm</t>
  </si>
  <si>
    <t xml:space="preserve">144</t>
  </si>
  <si>
    <t xml:space="preserve">28654201</t>
  </si>
  <si>
    <t xml:space="preserve">Redukce vnitřní/vnější PPR d 32x25 mm</t>
  </si>
  <si>
    <t xml:space="preserve">145</t>
  </si>
  <si>
    <t xml:space="preserve">286542141</t>
  </si>
  <si>
    <t xml:space="preserve">Redukce vnitřní/vnější PPR d 75x40 mm</t>
  </si>
  <si>
    <t xml:space="preserve">146</t>
  </si>
  <si>
    <t xml:space="preserve">28654203</t>
  </si>
  <si>
    <t xml:space="preserve">Redukce vnitřní/vnější PPR d 40x32 mm</t>
  </si>
  <si>
    <t xml:space="preserve">Celkem:</t>
  </si>
  <si>
    <t xml:space="preserve">Slepý stavební rozpočet - rekapitulace</t>
  </si>
  <si>
    <t xml:space="preserve">Objekt</t>
  </si>
  <si>
    <t xml:space="preserve">Náklady (Kč) - dodávka</t>
  </si>
  <si>
    <t xml:space="preserve">Náklady (Kč) - Montáž</t>
  </si>
  <si>
    <t xml:space="preserve">Náklady (Kč) - celkem</t>
  </si>
  <si>
    <t xml:space="preserve">F</t>
  </si>
  <si>
    <t xml:space="preserve">T</t>
  </si>
  <si>
    <t xml:space="preserve">Vedlejší a ostatní rozpočtové náklady</t>
  </si>
  <si>
    <t xml:space="preserve">Vedlejší rozpočtové náklady VRN</t>
  </si>
  <si>
    <t xml:space="preserve">Kč</t>
  </si>
  <si>
    <t xml:space="preserve">%</t>
  </si>
  <si>
    <t xml:space="preserve">Základna</t>
  </si>
  <si>
    <t xml:space="preserve">Celkem NUS</t>
  </si>
  <si>
    <t xml:space="preserve">Celkem VRN</t>
  </si>
  <si>
    <t xml:space="preserve">Ostatní rozpočtové náklady ORN</t>
  </si>
  <si>
    <t xml:space="preserve">Ostatní rozpočtové náklady (ORN)</t>
  </si>
  <si>
    <t xml:space="preserve">Dočasné úpravy, propojky, zaslepení</t>
  </si>
  <si>
    <t xml:space="preserve">Celkem ORN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</si>
</sst>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General"/>
    <numFmt numFmtId="166" formatCode="0"/>
    <numFmt numFmtId="167" formatCode="#,##0.00"/>
  </numFmts>
  <fonts count="13">
    <font>
      <sz val="8"/>
      <name val="Arial"/>
      <family val="0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1"/>
      <name val="Calibri"/>
      <family val="0"/>
    </font>
    <font>
      <sz val="18"/>
      <name val="Arial"/>
      <family val="0"/>
      <charset val="238"/>
    </font>
    <font>
      <b val="true"/>
      <sz val="10"/>
      <name val="Arial"/>
      <family val="0"/>
      <charset val="238"/>
    </font>
    <font>
      <b val="true"/>
      <sz val="18"/>
      <name val="Arial"/>
      <family val="0"/>
      <charset val="238"/>
    </font>
    <font>
      <b val="true"/>
      <sz val="20"/>
      <name val="Arial"/>
      <family val="0"/>
      <charset val="238"/>
    </font>
    <font>
      <b val="true"/>
      <sz val="11"/>
      <name val="Arial"/>
      <family val="0"/>
      <charset val="238"/>
    </font>
    <font>
      <b val="true"/>
      <sz val="12"/>
      <name val="Arial"/>
      <family val="0"/>
      <charset val="238"/>
    </font>
    <font>
      <sz val="12"/>
      <name val="Arial"/>
      <family val="0"/>
      <charset val="238"/>
    </font>
    <font>
      <i val="true"/>
      <sz val="8"/>
      <name val="Arial"/>
      <family val="0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C0C0C0"/>
        <bgColor rgb="FFCCCCFF"/>
      </patternFill>
    </fill>
  </fills>
  <borders count="36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/>
      <right style="thin"/>
      <top style="medium"/>
      <bottom style="medium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1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6" fillId="0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" fillId="0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1" fillId="0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" fillId="0" borderId="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" fillId="0" borderId="4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1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" fillId="0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1" fillId="2" borderId="0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1" fillId="2" borderId="5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1" fillId="0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" fillId="0" borderId="6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1" fillId="0" borderId="7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" fillId="0" borderId="7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" fillId="0" borderId="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1" fillId="0" borderId="8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3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1" fillId="0" borderId="8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7" fontId="11" fillId="0" borderId="8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5" fontId="11" fillId="0" borderId="8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10" fillId="0" borderId="1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7" fontId="11" fillId="0" borderId="5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11" fillId="0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1" fillId="0" borderId="5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10" fillId="0" borderId="9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7" fontId="11" fillId="0" borderId="1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10" fillId="0" borderId="1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7" fontId="11" fillId="0" borderId="1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10" fillId="0" borderId="8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0" fillId="3" borderId="1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7" fontId="10" fillId="3" borderId="1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10" fillId="3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7" fontId="10" fillId="3" borderId="8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10" fillId="3" borderId="1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0" fillId="3" borderId="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1" fillId="0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1" fillId="0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1" fillId="0" borderId="18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1" fillId="0" borderId="19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1" fillId="0" borderId="2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1" fillId="0" borderId="2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2" fillId="0" borderId="0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7" fontId="6" fillId="3" borderId="0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1" fillId="0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" fillId="0" borderId="3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" fillId="0" borderId="5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" fillId="2" borderId="5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6" fillId="0" borderId="2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0" borderId="2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3" borderId="0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6" fillId="0" borderId="0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1" fillId="0" borderId="2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" fillId="0" borderId="1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0" borderId="1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" fillId="3" borderId="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3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" fillId="3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7" fontId="6" fillId="3" borderId="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6" fillId="3" borderId="5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1" fillId="0" borderId="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7" fontId="1" fillId="0" borderId="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7" fontId="1" fillId="2" borderId="0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1" fillId="0" borderId="5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7" fontId="1" fillId="0" borderId="0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1" fillId="0" borderId="0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1" fillId="0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7" fontId="1" fillId="0" borderId="7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7" fontId="1" fillId="2" borderId="7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1" fillId="0" borderId="8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7" fontId="6" fillId="0" borderId="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5" fontId="1" fillId="0" borderId="3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1" fillId="0" borderId="5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6" fillId="0" borderId="29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0" borderId="3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0" borderId="3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3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6" fillId="0" borderId="2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0" borderId="3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1" fillId="0" borderId="1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7" fontId="1" fillId="2" borderId="8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1" fillId="0" borderId="8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7" fontId="1" fillId="0" borderId="8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1" fillId="0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7" fontId="1" fillId="0" borderId="5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6" fillId="0" borderId="3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0" borderId="3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0" borderId="35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7" fontId="6" fillId="0" borderId="35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10" fillId="0" borderId="3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7" fontId="10" fillId="0" borderId="35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7" fontId="1" fillId="2" borderId="5" xfId="0" applyFont="true" applyBorder="true" applyAlignment="true" applyProtection="true">
      <alignment horizontal="right" vertical="center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jpeg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1.jpeg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image" Target="../media/image1.jpeg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image" Target="../media/image1.jpe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0</xdr:col>
      <xdr:colOff>0</xdr:colOff>
      <xdr:row>0</xdr:row>
      <xdr:rowOff>0</xdr:rowOff>
    </xdr:from>
    <xdr:to>
      <xdr:col>1</xdr:col>
      <xdr:colOff>810000</xdr:colOff>
      <xdr:row>0</xdr:row>
      <xdr:rowOff>475200</xdr:rowOff>
    </xdr:to>
    <xdr:pic>
      <xdr:nvPicPr>
        <xdr:cNvPr id="0" name="Picture 6" descr=""/>
        <xdr:cNvPicPr/>
      </xdr:nvPicPr>
      <xdr:blipFill>
        <a:blip r:embed="rId1"/>
        <a:stretch/>
      </xdr:blipFill>
      <xdr:spPr>
        <a:xfrm>
          <a:off x="0" y="0"/>
          <a:ext cx="1411920" cy="47520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0</xdr:col>
      <xdr:colOff>0</xdr:colOff>
      <xdr:row>0</xdr:row>
      <xdr:rowOff>0</xdr:rowOff>
    </xdr:from>
    <xdr:to>
      <xdr:col>1</xdr:col>
      <xdr:colOff>1149120</xdr:colOff>
      <xdr:row>0</xdr:row>
      <xdr:rowOff>475200</xdr:rowOff>
    </xdr:to>
    <xdr:pic>
      <xdr:nvPicPr>
        <xdr:cNvPr id="1" name="Picture 2" descr=""/>
        <xdr:cNvPicPr/>
      </xdr:nvPicPr>
      <xdr:blipFill>
        <a:blip r:embed="rId1"/>
        <a:stretch/>
      </xdr:blipFill>
      <xdr:spPr>
        <a:xfrm>
          <a:off x="0" y="0"/>
          <a:ext cx="1411920" cy="47520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0</xdr:col>
      <xdr:colOff>0</xdr:colOff>
      <xdr:row>0</xdr:row>
      <xdr:rowOff>0</xdr:rowOff>
    </xdr:from>
    <xdr:to>
      <xdr:col>2</xdr:col>
      <xdr:colOff>285120</xdr:colOff>
      <xdr:row>0</xdr:row>
      <xdr:rowOff>475200</xdr:rowOff>
    </xdr:to>
    <xdr:pic>
      <xdr:nvPicPr>
        <xdr:cNvPr id="2" name="Picture 4" descr=""/>
        <xdr:cNvPicPr/>
      </xdr:nvPicPr>
      <xdr:blipFill>
        <a:blip r:embed="rId1"/>
        <a:stretch/>
      </xdr:blipFill>
      <xdr:spPr>
        <a:xfrm>
          <a:off x="0" y="0"/>
          <a:ext cx="1414080" cy="47520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0</xdr:col>
      <xdr:colOff>0</xdr:colOff>
      <xdr:row>0</xdr:row>
      <xdr:rowOff>0</xdr:rowOff>
    </xdr:from>
    <xdr:to>
      <xdr:col>1</xdr:col>
      <xdr:colOff>810000</xdr:colOff>
      <xdr:row>0</xdr:row>
      <xdr:rowOff>475200</xdr:rowOff>
    </xdr:to>
    <xdr:pic>
      <xdr:nvPicPr>
        <xdr:cNvPr id="3" name="Picture 8" descr=""/>
        <xdr:cNvPicPr/>
      </xdr:nvPicPr>
      <xdr:blipFill>
        <a:blip r:embed="rId1"/>
        <a:stretch/>
      </xdr:blipFill>
      <xdr:spPr>
        <a:xfrm>
          <a:off x="0" y="0"/>
          <a:ext cx="1411920" cy="475200"/>
        </a:xfrm>
        <a:prstGeom prst="rect">
          <a:avLst/>
        </a:prstGeom>
        <a:ln w="0"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37"/>
  <sheetViews>
    <sheetView showFormulas="false" showGridLines="true" showRowColHeaders="true" showZeros="true" rightToLeft="false" tabSelected="true" showOutlineSymbols="false" defaultGridColor="true" view="normal" topLeftCell="A1" colorId="64" zoomScale="110" zoomScaleNormal="110" zoomScalePageLayoutView="100" workbookViewId="0">
      <selection pane="topLeft" activeCell="I6" activeCellId="0" sqref="I6"/>
    </sheetView>
  </sheetViews>
  <sheetFormatPr defaultColWidth="14.16015625" defaultRowHeight="15" zeroHeight="false" outlineLevelRow="0" outlineLevelCol="0"/>
  <cols>
    <col collapsed="false" customWidth="true" hidden="false" outlineLevel="0" max="1" min="1" style="1" width="10.65"/>
    <col collapsed="false" customWidth="true" hidden="false" outlineLevel="0" max="2" min="2" style="1" width="14.99"/>
    <col collapsed="false" customWidth="true" hidden="false" outlineLevel="0" max="3" min="3" style="1" width="31.65"/>
    <col collapsed="false" customWidth="true" hidden="false" outlineLevel="0" max="4" min="4" style="1" width="11.65"/>
    <col collapsed="false" customWidth="true" hidden="false" outlineLevel="0" max="5" min="5" style="1" width="16.33"/>
    <col collapsed="false" customWidth="true" hidden="false" outlineLevel="0" max="6" min="6" style="1" width="31.65"/>
    <col collapsed="false" customWidth="true" hidden="false" outlineLevel="0" max="7" min="7" style="1" width="10.65"/>
    <col collapsed="false" customWidth="true" hidden="false" outlineLevel="0" max="8" min="8" style="1" width="14.99"/>
    <col collapsed="false" customWidth="true" hidden="false" outlineLevel="0" max="9" min="9" style="1" width="31.65"/>
  </cols>
  <sheetData>
    <row r="1" customFormat="false" ht="54.75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</row>
    <row r="2" customFormat="false" ht="15" hidden="false" customHeight="true" outlineLevel="0" collapsed="false">
      <c r="A2" s="3" t="s">
        <v>1</v>
      </c>
      <c r="B2" s="3"/>
      <c r="C2" s="4" t="str">
        <f aca="false">'Stavební rozpočet'!C2</f>
        <v>OPRAVA ROZVODŮ VODY 6. ZŠ ŠVABINSKÉHO Sokolov II. ETAPA</v>
      </c>
      <c r="D2" s="4"/>
      <c r="E2" s="5" t="s">
        <v>2</v>
      </c>
      <c r="F2" s="6" t="str">
        <f aca="false">'Stavební rozpočet'!J2</f>
        <v>Město Sokolov</v>
      </c>
      <c r="G2" s="6"/>
      <c r="H2" s="5" t="s">
        <v>3</v>
      </c>
      <c r="I2" s="7" t="s">
        <v>4</v>
      </c>
    </row>
    <row r="3" customFormat="false" ht="15" hidden="false" customHeight="true" outlineLevel="0" collapsed="false">
      <c r="A3" s="3"/>
      <c r="B3" s="3"/>
      <c r="C3" s="4"/>
      <c r="D3" s="4"/>
      <c r="E3" s="5"/>
      <c r="F3" s="5"/>
      <c r="G3" s="6"/>
      <c r="H3" s="5"/>
      <c r="I3" s="7"/>
    </row>
    <row r="4" customFormat="false" ht="15" hidden="false" customHeight="true" outlineLevel="0" collapsed="false">
      <c r="A4" s="8" t="s">
        <v>5</v>
      </c>
      <c r="B4" s="8"/>
      <c r="C4" s="9" t="str">
        <f aca="false">'Stavební rozpočet'!C4</f>
        <v>Rekonstrukce ZTI vodovodu na základní škole</v>
      </c>
      <c r="D4" s="9"/>
      <c r="E4" s="10" t="s">
        <v>6</v>
      </c>
      <c r="F4" s="9" t="str">
        <f aca="false">'Stavební rozpočet'!J4</f>
        <v>DD Služby s.r.o.</v>
      </c>
      <c r="G4" s="9"/>
      <c r="H4" s="10" t="s">
        <v>3</v>
      </c>
      <c r="I4" s="11" t="s">
        <v>7</v>
      </c>
    </row>
    <row r="5" customFormat="false" ht="15" hidden="false" customHeight="true" outlineLevel="0" collapsed="false">
      <c r="A5" s="8"/>
      <c r="B5" s="8"/>
      <c r="C5" s="9"/>
      <c r="D5" s="9"/>
      <c r="E5" s="10"/>
      <c r="F5" s="10"/>
      <c r="G5" s="9"/>
      <c r="H5" s="10"/>
      <c r="I5" s="11"/>
    </row>
    <row r="6" customFormat="false" ht="15" hidden="false" customHeight="true" outlineLevel="0" collapsed="false">
      <c r="A6" s="8" t="s">
        <v>8</v>
      </c>
      <c r="B6" s="8"/>
      <c r="C6" s="9" t="str">
        <f aca="false">'Stavební rozpočet'!C6</f>
        <v>Sokolov</v>
      </c>
      <c r="D6" s="9"/>
      <c r="E6" s="10" t="s">
        <v>9</v>
      </c>
      <c r="F6" s="12" t="str">
        <f aca="false">'Stavební rozpočet'!J6</f>
        <v>DOPLNÍ UCHAZEČ</v>
      </c>
      <c r="G6" s="12"/>
      <c r="H6" s="10" t="s">
        <v>3</v>
      </c>
      <c r="I6" s="13" t="s">
        <v>10</v>
      </c>
    </row>
    <row r="7" customFormat="false" ht="15" hidden="false" customHeight="true" outlineLevel="0" collapsed="false">
      <c r="A7" s="8"/>
      <c r="B7" s="8"/>
      <c r="C7" s="9"/>
      <c r="D7" s="9"/>
      <c r="E7" s="10"/>
      <c r="F7" s="10"/>
      <c r="G7" s="12"/>
      <c r="H7" s="10"/>
      <c r="I7" s="13"/>
    </row>
    <row r="8" customFormat="false" ht="15" hidden="false" customHeight="true" outlineLevel="0" collapsed="false">
      <c r="A8" s="8" t="s">
        <v>11</v>
      </c>
      <c r="B8" s="8"/>
      <c r="C8" s="9" t="str">
        <f aca="false">'Stavební rozpočet'!G4</f>
        <v>29.06.2024</v>
      </c>
      <c r="D8" s="9"/>
      <c r="E8" s="10" t="s">
        <v>12</v>
      </c>
      <c r="F8" s="9" t="str">
        <f aca="false">'Stavební rozpočet'!G6</f>
        <v>01.09.2024</v>
      </c>
      <c r="G8" s="9"/>
      <c r="H8" s="14" t="s">
        <v>13</v>
      </c>
      <c r="I8" s="15" t="n">
        <v>146</v>
      </c>
    </row>
    <row r="9" customFormat="false" ht="15" hidden="false" customHeight="true" outlineLevel="0" collapsed="false">
      <c r="A9" s="8"/>
      <c r="B9" s="8"/>
      <c r="C9" s="9"/>
      <c r="D9" s="9"/>
      <c r="E9" s="10"/>
      <c r="F9" s="10"/>
      <c r="G9" s="9"/>
      <c r="H9" s="14"/>
      <c r="I9" s="15"/>
    </row>
    <row r="10" customFormat="false" ht="15" hidden="false" customHeight="true" outlineLevel="0" collapsed="false">
      <c r="A10" s="16" t="s">
        <v>14</v>
      </c>
      <c r="B10" s="16"/>
      <c r="C10" s="17" t="str">
        <f aca="false">'Stavební rozpočet'!C8</f>
        <v> </v>
      </c>
      <c r="D10" s="17"/>
      <c r="E10" s="18" t="s">
        <v>15</v>
      </c>
      <c r="F10" s="17" t="str">
        <f aca="false">'Stavební rozpočet'!J8</f>
        <v>David Draský</v>
      </c>
      <c r="G10" s="17"/>
      <c r="H10" s="19" t="s">
        <v>16</v>
      </c>
      <c r="I10" s="20" t="str">
        <f aca="false">'Stavební rozpočet'!G8</f>
        <v>15.12.2023</v>
      </c>
    </row>
    <row r="11" customFormat="false" ht="15" hidden="false" customHeight="true" outlineLevel="0" collapsed="false">
      <c r="A11" s="16"/>
      <c r="B11" s="16"/>
      <c r="C11" s="17"/>
      <c r="D11" s="17"/>
      <c r="E11" s="18"/>
      <c r="F11" s="18"/>
      <c r="G11" s="17"/>
      <c r="H11" s="19"/>
      <c r="I11" s="20"/>
    </row>
    <row r="12" customFormat="false" ht="22.5" hidden="false" customHeight="true" outlineLevel="0" collapsed="false">
      <c r="A12" s="21" t="s">
        <v>17</v>
      </c>
      <c r="B12" s="21"/>
      <c r="C12" s="21"/>
      <c r="D12" s="21"/>
      <c r="E12" s="21"/>
      <c r="F12" s="21"/>
      <c r="G12" s="21"/>
      <c r="H12" s="21"/>
      <c r="I12" s="21"/>
    </row>
    <row r="13" customFormat="false" ht="26.25" hidden="false" customHeight="true" outlineLevel="0" collapsed="false">
      <c r="A13" s="22" t="s">
        <v>18</v>
      </c>
      <c r="B13" s="23" t="s">
        <v>19</v>
      </c>
      <c r="C13" s="23"/>
      <c r="D13" s="24" t="s">
        <v>20</v>
      </c>
      <c r="E13" s="23" t="s">
        <v>21</v>
      </c>
      <c r="F13" s="23"/>
      <c r="G13" s="24" t="s">
        <v>22</v>
      </c>
      <c r="H13" s="23" t="s">
        <v>23</v>
      </c>
      <c r="I13" s="23"/>
    </row>
    <row r="14" customFormat="false" ht="15" hidden="false" customHeight="true" outlineLevel="0" collapsed="false">
      <c r="A14" s="25" t="s">
        <v>24</v>
      </c>
      <c r="B14" s="26" t="s">
        <v>25</v>
      </c>
      <c r="C14" s="27" t="n">
        <f aca="false">SUM('Stavební rozpočet'!AB12:AB173)</f>
        <v>0</v>
      </c>
      <c r="D14" s="26"/>
      <c r="E14" s="26"/>
      <c r="F14" s="27"/>
      <c r="G14" s="26" t="s">
        <v>26</v>
      </c>
      <c r="H14" s="26"/>
      <c r="I14" s="28" t="n">
        <f aca="false">VORN!I21</f>
        <v>0</v>
      </c>
    </row>
    <row r="15" customFormat="false" ht="15" hidden="false" customHeight="true" outlineLevel="0" collapsed="false">
      <c r="A15" s="29"/>
      <c r="B15" s="26" t="s">
        <v>27</v>
      </c>
      <c r="C15" s="27" t="n">
        <f aca="false">SUM('Stavební rozpočet'!AC12:AC173)</f>
        <v>0</v>
      </c>
      <c r="D15" s="26"/>
      <c r="E15" s="26"/>
      <c r="F15" s="27"/>
      <c r="G15" s="26" t="s">
        <v>28</v>
      </c>
      <c r="H15" s="26"/>
      <c r="I15" s="28" t="n">
        <f aca="false">VORN!I22</f>
        <v>0</v>
      </c>
    </row>
    <row r="16" customFormat="false" ht="15" hidden="false" customHeight="true" outlineLevel="0" collapsed="false">
      <c r="A16" s="25" t="s">
        <v>29</v>
      </c>
      <c r="B16" s="26" t="s">
        <v>25</v>
      </c>
      <c r="C16" s="27" t="n">
        <f aca="false">SUM('Stavební rozpočet'!AD12:AD173)</f>
        <v>0</v>
      </c>
      <c r="D16" s="26"/>
      <c r="E16" s="26"/>
      <c r="F16" s="27"/>
      <c r="G16" s="26" t="s">
        <v>30</v>
      </c>
      <c r="H16" s="26"/>
      <c r="I16" s="28" t="n">
        <f aca="false">VORN!I23</f>
        <v>0</v>
      </c>
    </row>
    <row r="17" customFormat="false" ht="15" hidden="false" customHeight="true" outlineLevel="0" collapsed="false">
      <c r="A17" s="29"/>
      <c r="B17" s="26" t="s">
        <v>27</v>
      </c>
      <c r="C17" s="27" t="n">
        <f aca="false">SUM('Stavební rozpočet'!AE12:AE173)</f>
        <v>0</v>
      </c>
      <c r="D17" s="26"/>
      <c r="E17" s="26"/>
      <c r="F17" s="28"/>
      <c r="G17" s="26" t="s">
        <v>31</v>
      </c>
      <c r="H17" s="26"/>
      <c r="I17" s="28" t="n">
        <f aca="false">VORN!I24</f>
        <v>0</v>
      </c>
    </row>
    <row r="18" customFormat="false" ht="15" hidden="false" customHeight="true" outlineLevel="0" collapsed="false">
      <c r="A18" s="25" t="s">
        <v>32</v>
      </c>
      <c r="B18" s="26" t="s">
        <v>25</v>
      </c>
      <c r="C18" s="27" t="n">
        <f aca="false">SUM('Stavební rozpočet'!AF12:AF173)</f>
        <v>0</v>
      </c>
      <c r="D18" s="26"/>
      <c r="E18" s="26"/>
      <c r="F18" s="28"/>
      <c r="G18" s="26" t="s">
        <v>33</v>
      </c>
      <c r="H18" s="26"/>
      <c r="I18" s="28" t="n">
        <f aca="false">VORN!I25</f>
        <v>0</v>
      </c>
    </row>
    <row r="19" customFormat="false" ht="15" hidden="false" customHeight="true" outlineLevel="0" collapsed="false">
      <c r="A19" s="29"/>
      <c r="B19" s="26" t="s">
        <v>27</v>
      </c>
      <c r="C19" s="27" t="n">
        <f aca="false">SUM('Stavební rozpočet'!AG12:AG173)</f>
        <v>0</v>
      </c>
      <c r="D19" s="26"/>
      <c r="E19" s="26"/>
      <c r="F19" s="28"/>
      <c r="G19" s="26"/>
      <c r="H19" s="26"/>
      <c r="I19" s="28"/>
    </row>
    <row r="20" customFormat="false" ht="15" hidden="false" customHeight="true" outlineLevel="0" collapsed="false">
      <c r="A20" s="29" t="s">
        <v>34</v>
      </c>
      <c r="B20" s="29"/>
      <c r="C20" s="27" t="n">
        <f aca="false">SUM('Stavební rozpočet'!AH12:AH173)</f>
        <v>0</v>
      </c>
      <c r="D20" s="26"/>
      <c r="E20" s="26"/>
      <c r="F20" s="28"/>
      <c r="G20" s="26"/>
      <c r="H20" s="26"/>
      <c r="I20" s="28"/>
    </row>
    <row r="21" customFormat="false" ht="15" hidden="false" customHeight="true" outlineLevel="0" collapsed="false">
      <c r="A21" s="25" t="s">
        <v>35</v>
      </c>
      <c r="B21" s="25"/>
      <c r="C21" s="30" t="n">
        <f aca="false">SUM('Stavební rozpočet'!Z12:Z173)</f>
        <v>0</v>
      </c>
      <c r="D21" s="31"/>
      <c r="E21" s="31"/>
      <c r="F21" s="32"/>
      <c r="G21" s="31"/>
      <c r="H21" s="31"/>
      <c r="I21" s="32"/>
    </row>
    <row r="22" customFormat="false" ht="16.5" hidden="false" customHeight="true" outlineLevel="0" collapsed="false">
      <c r="A22" s="33" t="s">
        <v>36</v>
      </c>
      <c r="B22" s="33"/>
      <c r="C22" s="34" t="n">
        <f aca="false">SUM(C14:C21)</f>
        <v>0</v>
      </c>
      <c r="D22" s="35" t="s">
        <v>37</v>
      </c>
      <c r="E22" s="35"/>
      <c r="F22" s="34" t="n">
        <f aca="false">SUM(F14:F21)</f>
        <v>0</v>
      </c>
      <c r="G22" s="35" t="s">
        <v>38</v>
      </c>
      <c r="H22" s="35"/>
      <c r="I22" s="34" t="n">
        <f aca="false">SUM(I14:I21)</f>
        <v>0</v>
      </c>
    </row>
    <row r="23" customFormat="false" ht="15" hidden="false" customHeight="true" outlineLevel="0" collapsed="false">
      <c r="D23" s="29" t="s">
        <v>39</v>
      </c>
      <c r="E23" s="29"/>
      <c r="F23" s="36" t="n">
        <v>0</v>
      </c>
      <c r="G23" s="37" t="s">
        <v>40</v>
      </c>
      <c r="H23" s="37"/>
      <c r="I23" s="27" t="n">
        <v>0</v>
      </c>
    </row>
    <row r="24" customFormat="false" ht="15" hidden="false" customHeight="true" outlineLevel="0" collapsed="false">
      <c r="G24" s="29" t="s">
        <v>41</v>
      </c>
      <c r="H24" s="29"/>
      <c r="I24" s="30" t="n">
        <f aca="false">vorn_sum</f>
        <v>0</v>
      </c>
    </row>
    <row r="25" customFormat="false" ht="15" hidden="false" customHeight="true" outlineLevel="0" collapsed="false">
      <c r="G25" s="29" t="s">
        <v>42</v>
      </c>
      <c r="H25" s="29"/>
      <c r="I25" s="34" t="n">
        <v>0</v>
      </c>
    </row>
    <row r="27" customFormat="false" ht="15" hidden="false" customHeight="true" outlineLevel="0" collapsed="false">
      <c r="A27" s="38" t="s">
        <v>43</v>
      </c>
      <c r="B27" s="38"/>
      <c r="C27" s="39" t="n">
        <f aca="false">SUM('Stavební rozpočet'!AJ12:AJ173)</f>
        <v>0</v>
      </c>
    </row>
    <row r="28" customFormat="false" ht="15" hidden="false" customHeight="true" outlineLevel="0" collapsed="false">
      <c r="A28" s="40" t="s">
        <v>44</v>
      </c>
      <c r="B28" s="40"/>
      <c r="C28" s="41" t="n">
        <f aca="false">SUM('Stavební rozpočet'!AK12:AK173)</f>
        <v>0</v>
      </c>
      <c r="D28" s="42" t="s">
        <v>45</v>
      </c>
      <c r="E28" s="42"/>
      <c r="F28" s="39" t="n">
        <f aca="false">ROUND(C28*(15/100),2)</f>
        <v>0</v>
      </c>
      <c r="G28" s="42" t="s">
        <v>46</v>
      </c>
      <c r="H28" s="42"/>
      <c r="I28" s="39" t="n">
        <f aca="false">SUM(C27:C29)</f>
        <v>0</v>
      </c>
    </row>
    <row r="29" customFormat="false" ht="15" hidden="false" customHeight="true" outlineLevel="0" collapsed="false">
      <c r="A29" s="40" t="s">
        <v>47</v>
      </c>
      <c r="B29" s="40"/>
      <c r="C29" s="41" t="n">
        <f aca="false">SUM('Stavební rozpočet'!AL12:AL173)+(F22+I22+F23+I23+I24+I25)</f>
        <v>0</v>
      </c>
      <c r="D29" s="43" t="s">
        <v>48</v>
      </c>
      <c r="E29" s="43"/>
      <c r="F29" s="41" t="n">
        <f aca="false">ROUND(C29*(21/100),2)</f>
        <v>0</v>
      </c>
      <c r="G29" s="43" t="s">
        <v>49</v>
      </c>
      <c r="H29" s="43"/>
      <c r="I29" s="41" t="n">
        <f aca="false">SUM(F28:F29)+I28</f>
        <v>0</v>
      </c>
    </row>
    <row r="31" customFormat="false" ht="15" hidden="false" customHeight="true" outlineLevel="0" collapsed="false">
      <c r="A31" s="44" t="s">
        <v>50</v>
      </c>
      <c r="B31" s="44"/>
      <c r="C31" s="44"/>
      <c r="D31" s="45" t="s">
        <v>51</v>
      </c>
      <c r="E31" s="45"/>
      <c r="F31" s="45"/>
      <c r="G31" s="45" t="s">
        <v>52</v>
      </c>
      <c r="H31" s="45"/>
      <c r="I31" s="45"/>
    </row>
    <row r="32" customFormat="false" ht="15" hidden="false" customHeight="true" outlineLevel="0" collapsed="false">
      <c r="A32" s="46"/>
      <c r="B32" s="46"/>
      <c r="C32" s="46"/>
      <c r="D32" s="47"/>
      <c r="E32" s="47"/>
      <c r="F32" s="47"/>
      <c r="G32" s="47"/>
      <c r="H32" s="47"/>
      <c r="I32" s="47"/>
    </row>
    <row r="33" customFormat="false" ht="15" hidden="false" customHeight="true" outlineLevel="0" collapsed="false">
      <c r="A33" s="46"/>
      <c r="B33" s="46"/>
      <c r="C33" s="46"/>
      <c r="D33" s="47"/>
      <c r="E33" s="47"/>
      <c r="F33" s="47"/>
      <c r="G33" s="47"/>
      <c r="H33" s="47"/>
      <c r="I33" s="47"/>
    </row>
    <row r="34" customFormat="false" ht="15" hidden="false" customHeight="true" outlineLevel="0" collapsed="false">
      <c r="A34" s="46"/>
      <c r="B34" s="46"/>
      <c r="C34" s="46"/>
      <c r="D34" s="47"/>
      <c r="E34" s="47"/>
      <c r="F34" s="47"/>
      <c r="G34" s="47"/>
      <c r="H34" s="47"/>
      <c r="I34" s="47"/>
    </row>
    <row r="35" customFormat="false" ht="15" hidden="false" customHeight="true" outlineLevel="0" collapsed="false">
      <c r="A35" s="48" t="s">
        <v>53</v>
      </c>
      <c r="B35" s="48"/>
      <c r="C35" s="48"/>
      <c r="D35" s="49" t="s">
        <v>53</v>
      </c>
      <c r="E35" s="49"/>
      <c r="F35" s="49"/>
      <c r="G35" s="49" t="s">
        <v>53</v>
      </c>
      <c r="H35" s="49"/>
      <c r="I35" s="49"/>
    </row>
    <row r="36" customFormat="false" ht="15" hidden="false" customHeight="true" outlineLevel="0" collapsed="false">
      <c r="A36" s="50" t="s">
        <v>54</v>
      </c>
      <c r="B36" s="51"/>
      <c r="C36" s="51"/>
      <c r="D36" s="51"/>
      <c r="E36" s="51"/>
      <c r="F36" s="51"/>
      <c r="G36" s="51"/>
      <c r="H36" s="51"/>
      <c r="I36" s="51"/>
    </row>
    <row r="37" customFormat="false" ht="12.75" hidden="false" customHeight="true" outlineLevel="0" collapsed="false">
      <c r="A37" s="10"/>
      <c r="B37" s="10"/>
      <c r="C37" s="10"/>
      <c r="D37" s="10"/>
      <c r="E37" s="10"/>
      <c r="F37" s="10"/>
      <c r="G37" s="10"/>
      <c r="H37" s="10"/>
      <c r="I37" s="10"/>
    </row>
  </sheetData>
  <sheetProtection sheet="true" password="d675" objects="true" scenarios="true" selectLockedCells="true"/>
  <mergeCells count="83">
    <mergeCell ref="A1:I1"/>
    <mergeCell ref="A2:B3"/>
    <mergeCell ref="C2:D3"/>
    <mergeCell ref="E2:E3"/>
    <mergeCell ref="F2:G3"/>
    <mergeCell ref="H2:H3"/>
    <mergeCell ref="I2:I3"/>
    <mergeCell ref="A4:B5"/>
    <mergeCell ref="C4:D5"/>
    <mergeCell ref="E4:E5"/>
    <mergeCell ref="F4:G5"/>
    <mergeCell ref="H4:H5"/>
    <mergeCell ref="I4:I5"/>
    <mergeCell ref="A6:B7"/>
    <mergeCell ref="C6:D7"/>
    <mergeCell ref="E6:E7"/>
    <mergeCell ref="F6:G7"/>
    <mergeCell ref="H6:H7"/>
    <mergeCell ref="I6:I7"/>
    <mergeCell ref="A8:B9"/>
    <mergeCell ref="C8:D9"/>
    <mergeCell ref="E8:E9"/>
    <mergeCell ref="F8:G9"/>
    <mergeCell ref="H8:H9"/>
    <mergeCell ref="I8:I9"/>
    <mergeCell ref="A10:B11"/>
    <mergeCell ref="C10:D11"/>
    <mergeCell ref="E10:E11"/>
    <mergeCell ref="F10:G11"/>
    <mergeCell ref="H10:H11"/>
    <mergeCell ref="I10:I11"/>
    <mergeCell ref="A12:I12"/>
    <mergeCell ref="B13:C13"/>
    <mergeCell ref="E13:F13"/>
    <mergeCell ref="H13:I13"/>
    <mergeCell ref="D14:E14"/>
    <mergeCell ref="G14:H14"/>
    <mergeCell ref="D15:E15"/>
    <mergeCell ref="G15:H15"/>
    <mergeCell ref="D16:E16"/>
    <mergeCell ref="G16:H16"/>
    <mergeCell ref="D17:E17"/>
    <mergeCell ref="G17:H17"/>
    <mergeCell ref="D18:E18"/>
    <mergeCell ref="G18:H18"/>
    <mergeCell ref="D19:E19"/>
    <mergeCell ref="G19:H19"/>
    <mergeCell ref="A20:B20"/>
    <mergeCell ref="D20:E20"/>
    <mergeCell ref="G20:H20"/>
    <mergeCell ref="A21:B21"/>
    <mergeCell ref="D21:E21"/>
    <mergeCell ref="G21:H21"/>
    <mergeCell ref="A22:B22"/>
    <mergeCell ref="D22:E22"/>
    <mergeCell ref="G22:H22"/>
    <mergeCell ref="D23:E23"/>
    <mergeCell ref="G23:H23"/>
    <mergeCell ref="G24:H24"/>
    <mergeCell ref="G25:H25"/>
    <mergeCell ref="A27:B27"/>
    <mergeCell ref="A28:B28"/>
    <mergeCell ref="D28:E28"/>
    <mergeCell ref="G28:H28"/>
    <mergeCell ref="A29:B29"/>
    <mergeCell ref="D29:E29"/>
    <mergeCell ref="G29:H29"/>
    <mergeCell ref="A31:C31"/>
    <mergeCell ref="D31:F31"/>
    <mergeCell ref="G31:I31"/>
    <mergeCell ref="A32:C32"/>
    <mergeCell ref="D32:F32"/>
    <mergeCell ref="G32:I32"/>
    <mergeCell ref="A33:C33"/>
    <mergeCell ref="D33:F33"/>
    <mergeCell ref="G33:I33"/>
    <mergeCell ref="A34:C34"/>
    <mergeCell ref="D34:F34"/>
    <mergeCell ref="G34:I34"/>
    <mergeCell ref="A35:C35"/>
    <mergeCell ref="D35:F35"/>
    <mergeCell ref="G35:I35"/>
    <mergeCell ref="A37:I37"/>
  </mergeCells>
  <printOptions headings="false" gridLines="false" gridLinesSet="true" horizontalCentered="false" verticalCentered="false"/>
  <pageMargins left="0.39375" right="0.39375" top="0.590972222222222" bottom="0.590972222222222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L176"/>
  <sheetViews>
    <sheetView showFormulas="false" showGridLines="true" showRowColHeaders="true" showZeros="true" rightToLeft="false" tabSelected="false" showOutlineSymbols="false" defaultGridColor="true" view="normal" topLeftCell="A1" colorId="64" zoomScale="110" zoomScaleNormal="110" zoomScalePageLayoutView="100" workbookViewId="0">
      <pane xSplit="0" ySplit="11" topLeftCell="A12" activePane="bottomLeft" state="frozen"/>
      <selection pane="topLeft" activeCell="A1" activeCellId="0" sqref="A1"/>
      <selection pane="bottomLeft" activeCell="I25" activeCellId="0" sqref="I25"/>
    </sheetView>
  </sheetViews>
  <sheetFormatPr defaultColWidth="14.16015625" defaultRowHeight="15" zeroHeight="false" outlineLevelRow="0" outlineLevelCol="0"/>
  <cols>
    <col collapsed="false" customWidth="true" hidden="false" outlineLevel="0" max="1" min="1" style="1" width="4.65"/>
    <col collapsed="false" customWidth="true" hidden="false" outlineLevel="0" max="2" min="2" style="1" width="20.82"/>
    <col collapsed="false" customWidth="true" hidden="false" outlineLevel="0" max="3" min="3" style="1" width="1.65"/>
    <col collapsed="false" customWidth="true" hidden="false" outlineLevel="0" max="4" min="4" style="1" width="101.33"/>
    <col collapsed="false" customWidth="false" hidden="false" outlineLevel="0" max="6" min="5" style="1" width="14.16"/>
    <col collapsed="false" customWidth="true" hidden="false" outlineLevel="0" max="7" min="7" style="1" width="7.5"/>
    <col collapsed="false" customWidth="true" hidden="false" outlineLevel="0" max="8" min="8" style="1" width="14.99"/>
    <col collapsed="false" customWidth="true" hidden="false" outlineLevel="0" max="9" min="9" style="1" width="13.99"/>
    <col collapsed="false" customWidth="true" hidden="false" outlineLevel="0" max="12" min="10" style="1" width="18.33"/>
    <col collapsed="false" customWidth="true" hidden="false" outlineLevel="0" max="13" min="13" style="1" width="15.65"/>
    <col collapsed="false" customWidth="false" hidden="true" outlineLevel="0" max="74" min="25" style="1" width="14.16"/>
  </cols>
  <sheetData>
    <row r="1" customFormat="false" ht="54.75" hidden="false" customHeight="true" outlineLevel="0" collapsed="false">
      <c r="A1" s="52" t="s">
        <v>55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1"/>
      <c r="Z1" s="51"/>
      <c r="AA1" s="51"/>
      <c r="AB1" s="51"/>
      <c r="AC1" s="51"/>
      <c r="AD1" s="51"/>
      <c r="AE1" s="51"/>
      <c r="AF1" s="51"/>
      <c r="AG1" s="51"/>
      <c r="AH1" s="51"/>
      <c r="AI1" s="51"/>
      <c r="AJ1" s="51"/>
      <c r="AK1" s="51"/>
      <c r="AL1" s="51"/>
      <c r="AM1" s="51"/>
      <c r="AN1" s="51"/>
      <c r="AO1" s="51"/>
      <c r="AP1" s="51"/>
      <c r="AQ1" s="51"/>
      <c r="AR1" s="51"/>
      <c r="AS1" s="54" t="n">
        <f aca="false">SUM(AJ1:AJ2)</f>
        <v>0</v>
      </c>
      <c r="AT1" s="54" t="n">
        <f aca="false">SUM(AK1:AK2)</f>
        <v>0</v>
      </c>
      <c r="AU1" s="54" t="n">
        <f aca="false">SUM(AL1:AL2)</f>
        <v>0</v>
      </c>
      <c r="AV1" s="51"/>
      <c r="AW1" s="51"/>
      <c r="AX1" s="51"/>
      <c r="AY1" s="51"/>
      <c r="AZ1" s="51"/>
      <c r="BA1" s="51"/>
      <c r="BB1" s="51"/>
      <c r="BC1" s="51"/>
      <c r="BD1" s="51"/>
      <c r="BE1" s="51"/>
      <c r="BF1" s="51"/>
      <c r="BG1" s="51"/>
      <c r="BH1" s="51"/>
      <c r="BI1" s="51"/>
      <c r="BJ1" s="51"/>
      <c r="BK1" s="51"/>
      <c r="BL1" s="51"/>
    </row>
    <row r="2" customFormat="false" ht="15" hidden="false" customHeight="true" outlineLevel="0" collapsed="false">
      <c r="A2" s="3" t="s">
        <v>1</v>
      </c>
      <c r="B2" s="3"/>
      <c r="C2" s="4" t="s">
        <v>56</v>
      </c>
      <c r="D2" s="4"/>
      <c r="E2" s="55" t="s">
        <v>57</v>
      </c>
      <c r="F2" s="55"/>
      <c r="G2" s="55" t="s">
        <v>58</v>
      </c>
      <c r="H2" s="55"/>
      <c r="I2" s="5" t="s">
        <v>2</v>
      </c>
      <c r="J2" s="56" t="s">
        <v>59</v>
      </c>
      <c r="K2" s="56"/>
      <c r="L2" s="56"/>
      <c r="M2" s="56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1"/>
      <c r="Z2" s="51"/>
      <c r="AA2" s="51"/>
      <c r="AB2" s="51"/>
      <c r="AC2" s="51"/>
      <c r="AD2" s="51"/>
      <c r="AE2" s="51"/>
      <c r="AF2" s="51"/>
      <c r="AG2" s="51"/>
      <c r="AH2" s="51"/>
      <c r="AI2" s="51"/>
      <c r="AJ2" s="51"/>
      <c r="AK2" s="51"/>
      <c r="AL2" s="51"/>
      <c r="AM2" s="51"/>
      <c r="AN2" s="51"/>
      <c r="AO2" s="51"/>
      <c r="AP2" s="51"/>
      <c r="AQ2" s="51"/>
      <c r="AR2" s="51"/>
      <c r="AS2" s="51"/>
      <c r="AT2" s="51"/>
      <c r="AU2" s="51"/>
      <c r="AV2" s="51"/>
      <c r="AW2" s="51"/>
      <c r="AX2" s="51"/>
      <c r="AY2" s="51"/>
      <c r="AZ2" s="51"/>
      <c r="BA2" s="51"/>
      <c r="BB2" s="51"/>
      <c r="BC2" s="51"/>
      <c r="BD2" s="51"/>
      <c r="BE2" s="51"/>
      <c r="BF2" s="51"/>
      <c r="BG2" s="51"/>
      <c r="BH2" s="51"/>
      <c r="BI2" s="51"/>
      <c r="BJ2" s="51"/>
      <c r="BK2" s="51"/>
      <c r="BL2" s="51"/>
    </row>
    <row r="3" customFormat="false" ht="15" hidden="false" customHeight="true" outlineLevel="0" collapsed="false">
      <c r="A3" s="3"/>
      <c r="B3" s="3"/>
      <c r="C3" s="4"/>
      <c r="D3" s="4"/>
      <c r="E3" s="55"/>
      <c r="F3" s="55"/>
      <c r="G3" s="55"/>
      <c r="H3" s="55"/>
      <c r="I3" s="5"/>
      <c r="J3" s="5"/>
      <c r="K3" s="56"/>
      <c r="L3" s="56"/>
      <c r="M3" s="56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1"/>
      <c r="Z3" s="51"/>
      <c r="AA3" s="51"/>
      <c r="AB3" s="51"/>
      <c r="AC3" s="51"/>
      <c r="AD3" s="51"/>
      <c r="AE3" s="51"/>
      <c r="AF3" s="51"/>
      <c r="AG3" s="51"/>
      <c r="AH3" s="51"/>
      <c r="AI3" s="51"/>
      <c r="AJ3" s="51"/>
      <c r="AK3" s="51"/>
      <c r="AL3" s="51"/>
      <c r="AM3" s="51"/>
      <c r="AN3" s="51"/>
      <c r="AO3" s="51"/>
      <c r="AP3" s="51"/>
      <c r="AQ3" s="51"/>
      <c r="AR3" s="51"/>
      <c r="AS3" s="51"/>
      <c r="AT3" s="51"/>
      <c r="AU3" s="51"/>
      <c r="AV3" s="51"/>
      <c r="AW3" s="51"/>
      <c r="AX3" s="51"/>
      <c r="AY3" s="51"/>
      <c r="AZ3" s="51"/>
      <c r="BA3" s="51"/>
      <c r="BB3" s="51"/>
      <c r="BC3" s="51"/>
      <c r="BD3" s="51"/>
      <c r="BE3" s="51"/>
      <c r="BF3" s="51"/>
      <c r="BG3" s="51"/>
      <c r="BH3" s="51"/>
      <c r="BI3" s="51"/>
      <c r="BJ3" s="51"/>
      <c r="BK3" s="51"/>
      <c r="BL3" s="51"/>
    </row>
    <row r="4" customFormat="false" ht="15" hidden="false" customHeight="true" outlineLevel="0" collapsed="false">
      <c r="A4" s="8" t="s">
        <v>5</v>
      </c>
      <c r="B4" s="8"/>
      <c r="C4" s="9" t="s">
        <v>60</v>
      </c>
      <c r="D4" s="9"/>
      <c r="E4" s="14" t="s">
        <v>11</v>
      </c>
      <c r="F4" s="14"/>
      <c r="G4" s="14" t="s">
        <v>61</v>
      </c>
      <c r="H4" s="14"/>
      <c r="I4" s="10" t="s">
        <v>6</v>
      </c>
      <c r="J4" s="57" t="s">
        <v>62</v>
      </c>
      <c r="K4" s="57"/>
      <c r="L4" s="57"/>
      <c r="M4" s="57"/>
      <c r="N4" s="53"/>
      <c r="O4" s="53"/>
      <c r="P4" s="53"/>
      <c r="Q4" s="53"/>
      <c r="R4" s="53"/>
      <c r="S4" s="53"/>
      <c r="T4" s="53"/>
      <c r="U4" s="53"/>
      <c r="V4" s="53"/>
      <c r="W4" s="53"/>
      <c r="X4" s="53"/>
      <c r="Y4" s="51"/>
      <c r="Z4" s="51"/>
      <c r="AA4" s="51"/>
      <c r="AB4" s="51"/>
      <c r="AC4" s="51"/>
      <c r="AD4" s="51"/>
      <c r="AE4" s="51"/>
      <c r="AF4" s="51"/>
      <c r="AG4" s="51"/>
      <c r="AH4" s="51"/>
      <c r="AI4" s="51"/>
      <c r="AJ4" s="51"/>
      <c r="AK4" s="51"/>
      <c r="AL4" s="51"/>
      <c r="AM4" s="51"/>
      <c r="AN4" s="51"/>
      <c r="AO4" s="51"/>
      <c r="AP4" s="51"/>
      <c r="AQ4" s="51"/>
      <c r="AR4" s="51"/>
      <c r="AS4" s="51"/>
      <c r="AT4" s="51"/>
      <c r="AU4" s="51"/>
      <c r="AV4" s="51"/>
      <c r="AW4" s="51"/>
      <c r="AX4" s="51"/>
      <c r="AY4" s="51"/>
      <c r="AZ4" s="51"/>
      <c r="BA4" s="51"/>
      <c r="BB4" s="51"/>
      <c r="BC4" s="51"/>
      <c r="BD4" s="51"/>
      <c r="BE4" s="51"/>
      <c r="BF4" s="51"/>
      <c r="BG4" s="51"/>
      <c r="BH4" s="51"/>
      <c r="BI4" s="51"/>
      <c r="BJ4" s="51"/>
      <c r="BK4" s="51"/>
      <c r="BL4" s="51"/>
    </row>
    <row r="5" customFormat="false" ht="15" hidden="false" customHeight="true" outlineLevel="0" collapsed="false">
      <c r="A5" s="8"/>
      <c r="B5" s="8"/>
      <c r="C5" s="9"/>
      <c r="D5" s="9"/>
      <c r="E5" s="14"/>
      <c r="F5" s="14"/>
      <c r="G5" s="14"/>
      <c r="H5" s="14"/>
      <c r="I5" s="10"/>
      <c r="J5" s="10"/>
      <c r="K5" s="57"/>
      <c r="L5" s="57"/>
      <c r="M5" s="57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51"/>
      <c r="Z5" s="51"/>
      <c r="AA5" s="51"/>
      <c r="AB5" s="51"/>
      <c r="AC5" s="51"/>
      <c r="AD5" s="51"/>
      <c r="AE5" s="51"/>
      <c r="AF5" s="51"/>
      <c r="AG5" s="51"/>
      <c r="AH5" s="51"/>
      <c r="AI5" s="51"/>
      <c r="AJ5" s="51"/>
      <c r="AK5" s="51"/>
      <c r="AL5" s="51"/>
      <c r="AM5" s="51"/>
      <c r="AN5" s="51"/>
      <c r="AO5" s="51"/>
      <c r="AP5" s="51"/>
      <c r="AQ5" s="51"/>
      <c r="AR5" s="51"/>
      <c r="AS5" s="51"/>
      <c r="AT5" s="51"/>
      <c r="AU5" s="51"/>
      <c r="AV5" s="51"/>
      <c r="AW5" s="51"/>
      <c r="AX5" s="51"/>
      <c r="AY5" s="51"/>
      <c r="AZ5" s="51"/>
      <c r="BA5" s="51"/>
      <c r="BB5" s="51"/>
      <c r="BC5" s="51"/>
      <c r="BD5" s="51"/>
      <c r="BE5" s="51"/>
      <c r="BF5" s="51"/>
      <c r="BG5" s="51"/>
      <c r="BH5" s="51"/>
      <c r="BI5" s="51"/>
      <c r="BJ5" s="51"/>
      <c r="BK5" s="51"/>
      <c r="BL5" s="51"/>
    </row>
    <row r="6" customFormat="false" ht="15" hidden="false" customHeight="true" outlineLevel="0" collapsed="false">
      <c r="A6" s="8" t="s">
        <v>8</v>
      </c>
      <c r="B6" s="8"/>
      <c r="C6" s="9" t="s">
        <v>63</v>
      </c>
      <c r="D6" s="9"/>
      <c r="E6" s="14" t="s">
        <v>12</v>
      </c>
      <c r="F6" s="14"/>
      <c r="G6" s="14" t="s">
        <v>64</v>
      </c>
      <c r="H6" s="14"/>
      <c r="I6" s="10" t="s">
        <v>9</v>
      </c>
      <c r="J6" s="58" t="s">
        <v>10</v>
      </c>
      <c r="K6" s="58"/>
      <c r="L6" s="58"/>
      <c r="M6" s="58"/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51"/>
      <c r="Z6" s="51"/>
      <c r="AA6" s="51"/>
      <c r="AB6" s="51"/>
      <c r="AC6" s="51"/>
      <c r="AD6" s="51"/>
      <c r="AE6" s="51"/>
      <c r="AF6" s="51"/>
      <c r="AG6" s="51"/>
      <c r="AH6" s="51"/>
      <c r="AI6" s="51"/>
      <c r="AJ6" s="51"/>
      <c r="AK6" s="51"/>
      <c r="AL6" s="51"/>
      <c r="AM6" s="51"/>
      <c r="AN6" s="51"/>
      <c r="AO6" s="51"/>
      <c r="AP6" s="51"/>
      <c r="AQ6" s="51"/>
      <c r="AR6" s="51"/>
      <c r="AS6" s="51"/>
      <c r="AT6" s="51"/>
      <c r="AU6" s="51"/>
      <c r="AV6" s="51"/>
      <c r="AW6" s="51"/>
      <c r="AX6" s="51"/>
      <c r="AY6" s="51"/>
      <c r="AZ6" s="51"/>
      <c r="BA6" s="51"/>
      <c r="BB6" s="51"/>
      <c r="BC6" s="51"/>
      <c r="BD6" s="51"/>
      <c r="BE6" s="51"/>
      <c r="BF6" s="51"/>
      <c r="BG6" s="51"/>
      <c r="BH6" s="51"/>
      <c r="BI6" s="51"/>
      <c r="BJ6" s="51"/>
      <c r="BK6" s="51"/>
      <c r="BL6" s="51"/>
    </row>
    <row r="7" customFormat="false" ht="15" hidden="false" customHeight="true" outlineLevel="0" collapsed="false">
      <c r="A7" s="8"/>
      <c r="B7" s="8"/>
      <c r="C7" s="9"/>
      <c r="D7" s="9"/>
      <c r="E7" s="14"/>
      <c r="F7" s="14"/>
      <c r="G7" s="14"/>
      <c r="H7" s="14"/>
      <c r="I7" s="10"/>
      <c r="J7" s="10"/>
      <c r="K7" s="58"/>
      <c r="L7" s="58"/>
      <c r="M7" s="58"/>
      <c r="N7" s="53"/>
      <c r="O7" s="53"/>
      <c r="P7" s="53"/>
      <c r="Q7" s="53"/>
      <c r="R7" s="53"/>
      <c r="S7" s="53"/>
      <c r="T7" s="53"/>
      <c r="U7" s="53"/>
      <c r="V7" s="53"/>
      <c r="W7" s="53"/>
      <c r="X7" s="53"/>
      <c r="Y7" s="51"/>
      <c r="Z7" s="51"/>
      <c r="AA7" s="51"/>
      <c r="AB7" s="51"/>
      <c r="AC7" s="51"/>
      <c r="AD7" s="51"/>
      <c r="AE7" s="51"/>
      <c r="AF7" s="51"/>
      <c r="AG7" s="51"/>
      <c r="AH7" s="51"/>
      <c r="AI7" s="51"/>
      <c r="AJ7" s="51"/>
      <c r="AK7" s="51"/>
      <c r="AL7" s="51"/>
      <c r="AM7" s="51"/>
      <c r="AN7" s="51"/>
      <c r="AO7" s="51"/>
      <c r="AP7" s="51"/>
      <c r="AQ7" s="51"/>
      <c r="AR7" s="51"/>
      <c r="AS7" s="51"/>
      <c r="AT7" s="51"/>
      <c r="AU7" s="51"/>
      <c r="AV7" s="51"/>
      <c r="AW7" s="51"/>
      <c r="AX7" s="51"/>
      <c r="AY7" s="51"/>
      <c r="AZ7" s="51"/>
      <c r="BA7" s="51"/>
      <c r="BB7" s="51"/>
      <c r="BC7" s="51"/>
      <c r="BD7" s="51"/>
      <c r="BE7" s="51"/>
      <c r="BF7" s="51"/>
      <c r="BG7" s="51"/>
      <c r="BH7" s="51"/>
      <c r="BI7" s="51"/>
      <c r="BJ7" s="51"/>
      <c r="BK7" s="51"/>
      <c r="BL7" s="51"/>
    </row>
    <row r="8" customFormat="false" ht="15" hidden="false" customHeight="true" outlineLevel="0" collapsed="false">
      <c r="A8" s="8" t="s">
        <v>14</v>
      </c>
      <c r="B8" s="8"/>
      <c r="C8" s="9" t="s">
        <v>65</v>
      </c>
      <c r="D8" s="9"/>
      <c r="E8" s="14" t="s">
        <v>66</v>
      </c>
      <c r="F8" s="14"/>
      <c r="G8" s="14" t="s">
        <v>67</v>
      </c>
      <c r="H8" s="14"/>
      <c r="I8" s="10" t="s">
        <v>15</v>
      </c>
      <c r="J8" s="57" t="s">
        <v>68</v>
      </c>
      <c r="K8" s="57"/>
      <c r="L8" s="57"/>
      <c r="M8" s="57"/>
      <c r="N8" s="53"/>
      <c r="O8" s="53"/>
      <c r="P8" s="53"/>
      <c r="Q8" s="53"/>
      <c r="R8" s="53"/>
      <c r="S8" s="53"/>
      <c r="T8" s="53"/>
      <c r="U8" s="53"/>
      <c r="V8" s="53"/>
      <c r="W8" s="53"/>
      <c r="X8" s="53"/>
      <c r="Y8" s="51"/>
      <c r="Z8" s="51"/>
      <c r="AA8" s="51"/>
      <c r="AB8" s="51"/>
      <c r="AC8" s="51"/>
      <c r="AD8" s="51"/>
      <c r="AE8" s="51"/>
      <c r="AF8" s="51"/>
      <c r="AG8" s="51"/>
      <c r="AH8" s="51"/>
      <c r="AI8" s="51"/>
      <c r="AJ8" s="51"/>
      <c r="AK8" s="51"/>
      <c r="AL8" s="51"/>
      <c r="AM8" s="51"/>
      <c r="AN8" s="51"/>
      <c r="AO8" s="51"/>
      <c r="AP8" s="51"/>
      <c r="AQ8" s="51"/>
      <c r="AR8" s="51"/>
      <c r="AS8" s="51"/>
      <c r="AT8" s="51"/>
      <c r="AU8" s="51"/>
      <c r="AV8" s="51"/>
      <c r="AW8" s="51"/>
      <c r="AX8" s="51"/>
      <c r="AY8" s="51"/>
      <c r="AZ8" s="51"/>
      <c r="BA8" s="51"/>
      <c r="BB8" s="51"/>
      <c r="BC8" s="51"/>
      <c r="BD8" s="51"/>
      <c r="BE8" s="51"/>
      <c r="BF8" s="51"/>
      <c r="BG8" s="51"/>
      <c r="BH8" s="51"/>
      <c r="BI8" s="51"/>
      <c r="BJ8" s="51"/>
      <c r="BK8" s="51"/>
      <c r="BL8" s="51"/>
    </row>
    <row r="9" customFormat="false" ht="15" hidden="false" customHeight="true" outlineLevel="0" collapsed="false">
      <c r="A9" s="8"/>
      <c r="B9" s="8"/>
      <c r="C9" s="9"/>
      <c r="D9" s="9"/>
      <c r="E9" s="14"/>
      <c r="F9" s="14"/>
      <c r="G9" s="14"/>
      <c r="H9" s="14"/>
      <c r="I9" s="10"/>
      <c r="J9" s="10"/>
      <c r="K9" s="57"/>
      <c r="L9" s="57"/>
      <c r="M9" s="57"/>
      <c r="N9" s="53"/>
      <c r="O9" s="53"/>
      <c r="P9" s="53"/>
      <c r="Q9" s="53"/>
      <c r="R9" s="53"/>
      <c r="S9" s="53"/>
      <c r="T9" s="53"/>
      <c r="U9" s="53"/>
      <c r="V9" s="53"/>
      <c r="W9" s="53"/>
      <c r="X9" s="53"/>
      <c r="Y9" s="51"/>
      <c r="Z9" s="51"/>
      <c r="AA9" s="51"/>
      <c r="AB9" s="51"/>
      <c r="AC9" s="51"/>
      <c r="AD9" s="51"/>
      <c r="AE9" s="51"/>
      <c r="AF9" s="51"/>
      <c r="AG9" s="51"/>
      <c r="AH9" s="51"/>
      <c r="AI9" s="51"/>
      <c r="AJ9" s="51"/>
      <c r="AK9" s="51"/>
      <c r="AL9" s="51"/>
      <c r="AM9" s="51"/>
      <c r="AN9" s="51"/>
      <c r="AO9" s="51"/>
      <c r="AP9" s="51"/>
      <c r="AQ9" s="51"/>
      <c r="AR9" s="51"/>
      <c r="AS9" s="51"/>
      <c r="AT9" s="51"/>
      <c r="AU9" s="51"/>
      <c r="AV9" s="51"/>
      <c r="AW9" s="51"/>
      <c r="AX9" s="51"/>
      <c r="AY9" s="51"/>
      <c r="AZ9" s="51"/>
      <c r="BA9" s="51"/>
      <c r="BB9" s="51"/>
      <c r="BC9" s="51"/>
      <c r="BD9" s="51"/>
      <c r="BE9" s="51"/>
      <c r="BF9" s="51"/>
      <c r="BG9" s="51"/>
      <c r="BH9" s="51"/>
      <c r="BI9" s="51"/>
      <c r="BJ9" s="51"/>
      <c r="BK9" s="51"/>
      <c r="BL9" s="51"/>
    </row>
    <row r="10" customFormat="false" ht="15" hidden="false" customHeight="true" outlineLevel="0" collapsed="false">
      <c r="A10" s="59" t="s">
        <v>69</v>
      </c>
      <c r="B10" s="60" t="s">
        <v>70</v>
      </c>
      <c r="C10" s="60" t="s">
        <v>71</v>
      </c>
      <c r="D10" s="60"/>
      <c r="E10" s="60"/>
      <c r="F10" s="60"/>
      <c r="G10" s="60" t="s">
        <v>72</v>
      </c>
      <c r="H10" s="61" t="s">
        <v>73</v>
      </c>
      <c r="I10" s="62" t="s">
        <v>74</v>
      </c>
      <c r="J10" s="63" t="s">
        <v>75</v>
      </c>
      <c r="K10" s="63"/>
      <c r="L10" s="63"/>
      <c r="M10" s="61" t="s">
        <v>76</v>
      </c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64" t="s">
        <v>77</v>
      </c>
      <c r="BL10" s="65" t="s">
        <v>78</v>
      </c>
    </row>
    <row r="11" customFormat="false" ht="15" hidden="false" customHeight="true" outlineLevel="0" collapsed="false">
      <c r="A11" s="66" t="s">
        <v>65</v>
      </c>
      <c r="B11" s="67" t="s">
        <v>65</v>
      </c>
      <c r="C11" s="68" t="s">
        <v>79</v>
      </c>
      <c r="D11" s="68"/>
      <c r="E11" s="68"/>
      <c r="F11" s="68"/>
      <c r="G11" s="67" t="s">
        <v>65</v>
      </c>
      <c r="H11" s="67" t="s">
        <v>65</v>
      </c>
      <c r="I11" s="69" t="s">
        <v>80</v>
      </c>
      <c r="J11" s="70" t="s">
        <v>81</v>
      </c>
      <c r="K11" s="71" t="s">
        <v>27</v>
      </c>
      <c r="L11" s="72" t="s">
        <v>82</v>
      </c>
      <c r="M11" s="71" t="s">
        <v>83</v>
      </c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1"/>
      <c r="Z11" s="64" t="s">
        <v>84</v>
      </c>
      <c r="AA11" s="64" t="s">
        <v>85</v>
      </c>
      <c r="AB11" s="64" t="s">
        <v>86</v>
      </c>
      <c r="AC11" s="64" t="s">
        <v>87</v>
      </c>
      <c r="AD11" s="64" t="s">
        <v>88</v>
      </c>
      <c r="AE11" s="64" t="s">
        <v>89</v>
      </c>
      <c r="AF11" s="64" t="s">
        <v>90</v>
      </c>
      <c r="AG11" s="64" t="s">
        <v>91</v>
      </c>
      <c r="AH11" s="64" t="s">
        <v>92</v>
      </c>
      <c r="AI11" s="51"/>
      <c r="AJ11" s="51"/>
      <c r="AK11" s="51"/>
      <c r="AL11" s="51"/>
      <c r="AM11" s="51"/>
      <c r="AN11" s="51"/>
      <c r="AO11" s="51"/>
      <c r="AP11" s="51"/>
      <c r="AQ11" s="51"/>
      <c r="AR11" s="51"/>
      <c r="AS11" s="51"/>
      <c r="AT11" s="51"/>
      <c r="AU11" s="51"/>
      <c r="AV11" s="51"/>
      <c r="AW11" s="51"/>
      <c r="AX11" s="51"/>
      <c r="AY11" s="51"/>
      <c r="AZ11" s="51"/>
      <c r="BA11" s="51"/>
      <c r="BB11" s="51"/>
      <c r="BC11" s="51"/>
      <c r="BD11" s="51"/>
      <c r="BE11" s="51"/>
      <c r="BF11" s="51"/>
      <c r="BG11" s="51"/>
      <c r="BH11" s="64" t="s">
        <v>93</v>
      </c>
      <c r="BI11" s="64" t="s">
        <v>94</v>
      </c>
      <c r="BJ11" s="64" t="s">
        <v>95</v>
      </c>
      <c r="BK11" s="51"/>
      <c r="BL11" s="51"/>
    </row>
    <row r="12" customFormat="false" ht="15" hidden="false" customHeight="true" outlineLevel="0" collapsed="false">
      <c r="A12" s="73"/>
      <c r="B12" s="74"/>
      <c r="C12" s="74" t="s">
        <v>96</v>
      </c>
      <c r="D12" s="74"/>
      <c r="E12" s="74"/>
      <c r="F12" s="74"/>
      <c r="G12" s="75" t="s">
        <v>65</v>
      </c>
      <c r="H12" s="75" t="s">
        <v>65</v>
      </c>
      <c r="I12" s="75" t="s">
        <v>65</v>
      </c>
      <c r="J12" s="76" t="n">
        <f aca="false">J13+J16+J18+J20+J22+J114+J126+J130+J133+J135+J139+J142+J144+J146+J159</f>
        <v>0</v>
      </c>
      <c r="K12" s="76" t="n">
        <f aca="false">K13+K16+K18+K20+K22+K114+K126+K130+K133+K135+K139+K142+K144+K146+K159</f>
        <v>0</v>
      </c>
      <c r="L12" s="76" t="n">
        <f aca="false">L13+L16+L18+L20+L22+L114+L126+L130+L133+L135+L139+L142+L144+L146+L159</f>
        <v>0</v>
      </c>
      <c r="M12" s="77"/>
      <c r="N12" s="53"/>
      <c r="O12" s="53"/>
      <c r="P12" s="53"/>
      <c r="Q12" s="53"/>
      <c r="R12" s="53"/>
      <c r="S12" s="53"/>
      <c r="T12" s="53"/>
      <c r="U12" s="53"/>
      <c r="V12" s="53"/>
      <c r="W12" s="53"/>
      <c r="X12" s="53"/>
      <c r="Y12" s="51"/>
      <c r="Z12" s="51"/>
      <c r="AA12" s="51"/>
      <c r="AB12" s="51"/>
      <c r="AC12" s="51"/>
      <c r="AD12" s="51"/>
      <c r="AE12" s="51"/>
      <c r="AF12" s="51"/>
      <c r="AG12" s="51"/>
      <c r="AH12" s="51"/>
      <c r="AI12" s="51"/>
      <c r="AJ12" s="51"/>
      <c r="AK12" s="51"/>
      <c r="AL12" s="51"/>
      <c r="AM12" s="51"/>
      <c r="AN12" s="51"/>
      <c r="AO12" s="51"/>
      <c r="AP12" s="51"/>
      <c r="AQ12" s="51"/>
      <c r="AR12" s="51"/>
      <c r="AS12" s="51"/>
      <c r="AT12" s="51"/>
      <c r="AU12" s="51"/>
      <c r="AV12" s="51"/>
      <c r="AW12" s="51"/>
      <c r="AX12" s="51"/>
      <c r="AY12" s="51"/>
      <c r="AZ12" s="51"/>
      <c r="BA12" s="51"/>
      <c r="BB12" s="51"/>
      <c r="BC12" s="51"/>
      <c r="BD12" s="51"/>
      <c r="BE12" s="51"/>
      <c r="BF12" s="51"/>
      <c r="BG12" s="51"/>
      <c r="BH12" s="51"/>
      <c r="BI12" s="51"/>
      <c r="BJ12" s="51"/>
      <c r="BK12" s="51"/>
      <c r="BL12" s="51"/>
    </row>
    <row r="13" customFormat="false" ht="15" hidden="false" customHeight="true" outlineLevel="0" collapsed="false">
      <c r="A13" s="73"/>
      <c r="B13" s="74" t="s">
        <v>97</v>
      </c>
      <c r="C13" s="74" t="s">
        <v>98</v>
      </c>
      <c r="D13" s="74"/>
      <c r="E13" s="74"/>
      <c r="F13" s="74"/>
      <c r="G13" s="75" t="s">
        <v>65</v>
      </c>
      <c r="H13" s="75" t="s">
        <v>65</v>
      </c>
      <c r="I13" s="75" t="s">
        <v>65</v>
      </c>
      <c r="J13" s="76" t="n">
        <f aca="false">SUM(J14:J15)</f>
        <v>0</v>
      </c>
      <c r="K13" s="76" t="n">
        <f aca="false">SUM(K14:K15)</f>
        <v>0</v>
      </c>
      <c r="L13" s="76" t="n">
        <f aca="false">SUM(L14:L15)</f>
        <v>0</v>
      </c>
      <c r="M13" s="77"/>
      <c r="N13" s="53"/>
      <c r="O13" s="53"/>
      <c r="P13" s="53"/>
      <c r="Q13" s="53"/>
      <c r="R13" s="53"/>
      <c r="S13" s="53"/>
      <c r="T13" s="53"/>
      <c r="U13" s="53"/>
      <c r="V13" s="53"/>
      <c r="W13" s="53"/>
      <c r="X13" s="53"/>
      <c r="Y13" s="51"/>
      <c r="Z13" s="51"/>
      <c r="AA13" s="51"/>
      <c r="AB13" s="51"/>
      <c r="AC13" s="51"/>
      <c r="AD13" s="51"/>
      <c r="AE13" s="51"/>
      <c r="AF13" s="51"/>
      <c r="AG13" s="51"/>
      <c r="AH13" s="51"/>
      <c r="AI13" s="64" t="s">
        <v>99</v>
      </c>
      <c r="AJ13" s="51"/>
      <c r="AK13" s="51"/>
      <c r="AL13" s="51"/>
      <c r="AM13" s="51"/>
      <c r="AN13" s="51"/>
      <c r="AO13" s="51"/>
      <c r="AP13" s="51"/>
      <c r="AQ13" s="51"/>
      <c r="AR13" s="51"/>
      <c r="AS13" s="54" t="n">
        <f aca="false">SUM(AJ14:AJ15)</f>
        <v>0</v>
      </c>
      <c r="AT13" s="54" t="n">
        <f aca="false">SUM(AK14:AK15)</f>
        <v>0</v>
      </c>
      <c r="AU13" s="54" t="n">
        <f aca="false">SUM(AL14:AL15)</f>
        <v>0</v>
      </c>
      <c r="AV13" s="51"/>
      <c r="AW13" s="51"/>
      <c r="AX13" s="51"/>
      <c r="AY13" s="51"/>
      <c r="AZ13" s="51"/>
      <c r="BA13" s="51"/>
      <c r="BB13" s="51"/>
      <c r="BC13" s="51"/>
      <c r="BD13" s="51"/>
      <c r="BE13" s="51"/>
      <c r="BF13" s="51"/>
      <c r="BG13" s="51"/>
      <c r="BH13" s="51"/>
      <c r="BI13" s="51"/>
      <c r="BJ13" s="51"/>
      <c r="BK13" s="51"/>
      <c r="BL13" s="51"/>
    </row>
    <row r="14" customFormat="false" ht="15" hidden="false" customHeight="true" outlineLevel="0" collapsed="false">
      <c r="A14" s="78" t="s">
        <v>100</v>
      </c>
      <c r="B14" s="14" t="s">
        <v>101</v>
      </c>
      <c r="C14" s="14" t="s">
        <v>102</v>
      </c>
      <c r="D14" s="14"/>
      <c r="E14" s="14"/>
      <c r="F14" s="14"/>
      <c r="G14" s="14" t="s">
        <v>103</v>
      </c>
      <c r="H14" s="79" t="n">
        <v>55.8</v>
      </c>
      <c r="I14" s="80" t="n">
        <v>0</v>
      </c>
      <c r="J14" s="79" t="n">
        <f aca="false">H14*AO14</f>
        <v>0</v>
      </c>
      <c r="K14" s="79" t="n">
        <f aca="false">H14*AP14</f>
        <v>0</v>
      </c>
      <c r="L14" s="79" t="n">
        <f aca="false">H14*I14</f>
        <v>0</v>
      </c>
      <c r="M14" s="81" t="s">
        <v>104</v>
      </c>
      <c r="N14" s="53"/>
      <c r="O14" s="53"/>
      <c r="P14" s="53"/>
      <c r="Q14" s="53"/>
      <c r="R14" s="53"/>
      <c r="S14" s="53"/>
      <c r="T14" s="53"/>
      <c r="U14" s="53"/>
      <c r="V14" s="53"/>
      <c r="W14" s="53"/>
      <c r="X14" s="53"/>
      <c r="Y14" s="51"/>
      <c r="Z14" s="82" t="n">
        <f aca="false">IF(AQ14="5",BJ14,0)</f>
        <v>0</v>
      </c>
      <c r="AA14" s="51"/>
      <c r="AB14" s="82" t="n">
        <f aca="false">IF(AQ14="1",BH14,0)</f>
        <v>0</v>
      </c>
      <c r="AC14" s="82" t="n">
        <f aca="false">IF(AQ14="1",BI14,0)</f>
        <v>0</v>
      </c>
      <c r="AD14" s="82" t="n">
        <f aca="false">IF(AQ14="7",BH14,0)</f>
        <v>0</v>
      </c>
      <c r="AE14" s="82" t="n">
        <f aca="false">IF(AQ14="7",BI14,0)</f>
        <v>0</v>
      </c>
      <c r="AF14" s="82" t="n">
        <f aca="false">IF(AQ14="2",BH14,0)</f>
        <v>0</v>
      </c>
      <c r="AG14" s="82" t="n">
        <f aca="false">IF(AQ14="2",BI14,0)</f>
        <v>0</v>
      </c>
      <c r="AH14" s="82" t="n">
        <f aca="false">IF(AQ14="0",BJ14,0)</f>
        <v>0</v>
      </c>
      <c r="AI14" s="64" t="s">
        <v>99</v>
      </c>
      <c r="AJ14" s="82" t="n">
        <f aca="false">IF(AN14=0,L14,0)</f>
        <v>0</v>
      </c>
      <c r="AK14" s="82" t="n">
        <f aca="false">IF(AN14=15,L14,0)</f>
        <v>0</v>
      </c>
      <c r="AL14" s="82" t="n">
        <f aca="false">IF(AN14=21,L14,0)</f>
        <v>0</v>
      </c>
      <c r="AM14" s="51"/>
      <c r="AN14" s="82" t="n">
        <v>21</v>
      </c>
      <c r="AO14" s="82" t="n">
        <f aca="false">I14*0.699370558375634</f>
        <v>0</v>
      </c>
      <c r="AP14" s="82" t="n">
        <f aca="false">I14*(1-0.699370558375634)</f>
        <v>0</v>
      </c>
      <c r="AQ14" s="83" t="s">
        <v>100</v>
      </c>
      <c r="AR14" s="51"/>
      <c r="AS14" s="51"/>
      <c r="AT14" s="51"/>
      <c r="AU14" s="51"/>
      <c r="AV14" s="82" t="n">
        <f aca="false">AW14+AX14</f>
        <v>0</v>
      </c>
      <c r="AW14" s="82" t="n">
        <f aca="false">H14*AO14</f>
        <v>0</v>
      </c>
      <c r="AX14" s="82" t="n">
        <f aca="false">H14*AP14</f>
        <v>0</v>
      </c>
      <c r="AY14" s="83" t="s">
        <v>105</v>
      </c>
      <c r="AZ14" s="83" t="s">
        <v>106</v>
      </c>
      <c r="BA14" s="64" t="s">
        <v>107</v>
      </c>
      <c r="BB14" s="51"/>
      <c r="BC14" s="82" t="n">
        <f aca="false">AW14+AX14</f>
        <v>0</v>
      </c>
      <c r="BD14" s="82" t="n">
        <f aca="false">I14/(100-BE14)*100</f>
        <v>0</v>
      </c>
      <c r="BE14" s="82" t="n">
        <v>0</v>
      </c>
      <c r="BF14" s="82" t="n">
        <f aca="false">14</f>
        <v>14</v>
      </c>
      <c r="BG14" s="51"/>
      <c r="BH14" s="82" t="n">
        <f aca="false">H14*AO14</f>
        <v>0</v>
      </c>
      <c r="BI14" s="82" t="n">
        <f aca="false">H14*AP14</f>
        <v>0</v>
      </c>
      <c r="BJ14" s="82" t="n">
        <f aca="false">H14*I14</f>
        <v>0</v>
      </c>
      <c r="BK14" s="82"/>
      <c r="BL14" s="82" t="n">
        <v>34</v>
      </c>
    </row>
    <row r="15" customFormat="false" ht="15" hidden="false" customHeight="true" outlineLevel="0" collapsed="false">
      <c r="A15" s="78" t="s">
        <v>108</v>
      </c>
      <c r="B15" s="14" t="s">
        <v>109</v>
      </c>
      <c r="C15" s="14" t="s">
        <v>110</v>
      </c>
      <c r="D15" s="14"/>
      <c r="E15" s="14"/>
      <c r="F15" s="14"/>
      <c r="G15" s="14" t="s">
        <v>111</v>
      </c>
      <c r="H15" s="79" t="n">
        <v>36</v>
      </c>
      <c r="I15" s="80" t="n">
        <v>0</v>
      </c>
      <c r="J15" s="79" t="n">
        <f aca="false">H15*AO15</f>
        <v>0</v>
      </c>
      <c r="K15" s="79" t="n">
        <f aca="false">H15*AP15</f>
        <v>0</v>
      </c>
      <c r="L15" s="79" t="n">
        <f aca="false">H15*I15</f>
        <v>0</v>
      </c>
      <c r="M15" s="81" t="s">
        <v>104</v>
      </c>
      <c r="N15" s="53"/>
      <c r="O15" s="53"/>
      <c r="P15" s="53"/>
      <c r="Q15" s="53"/>
      <c r="R15" s="53"/>
      <c r="S15" s="53"/>
      <c r="T15" s="53"/>
      <c r="U15" s="53"/>
      <c r="V15" s="53"/>
      <c r="W15" s="53"/>
      <c r="X15" s="53"/>
      <c r="Y15" s="51"/>
      <c r="Z15" s="82" t="n">
        <f aca="false">IF(AQ15="5",BJ15,0)</f>
        <v>0</v>
      </c>
      <c r="AA15" s="51"/>
      <c r="AB15" s="82" t="n">
        <f aca="false">IF(AQ15="1",BH15,0)</f>
        <v>0</v>
      </c>
      <c r="AC15" s="82" t="n">
        <f aca="false">IF(AQ15="1",BI15,0)</f>
        <v>0</v>
      </c>
      <c r="AD15" s="82" t="n">
        <f aca="false">IF(AQ15="7",BH15,0)</f>
        <v>0</v>
      </c>
      <c r="AE15" s="82" t="n">
        <f aca="false">IF(AQ15="7",BI15,0)</f>
        <v>0</v>
      </c>
      <c r="AF15" s="82" t="n">
        <f aca="false">IF(AQ15="2",BH15,0)</f>
        <v>0</v>
      </c>
      <c r="AG15" s="82" t="n">
        <f aca="false">IF(AQ15="2",BI15,0)</f>
        <v>0</v>
      </c>
      <c r="AH15" s="82" t="n">
        <f aca="false">IF(AQ15="0",BJ15,0)</f>
        <v>0</v>
      </c>
      <c r="AI15" s="64" t="s">
        <v>99</v>
      </c>
      <c r="AJ15" s="82" t="n">
        <f aca="false">IF(AN15=0,L15,0)</f>
        <v>0</v>
      </c>
      <c r="AK15" s="82" t="n">
        <f aca="false">IF(AN15=15,L15,0)</f>
        <v>0</v>
      </c>
      <c r="AL15" s="82" t="n">
        <f aca="false">IF(AN15=21,L15,0)</f>
        <v>0</v>
      </c>
      <c r="AM15" s="51"/>
      <c r="AN15" s="82" t="n">
        <v>21</v>
      </c>
      <c r="AO15" s="82" t="n">
        <f aca="false">I15*0.0154615384615385</f>
        <v>0</v>
      </c>
      <c r="AP15" s="82" t="n">
        <f aca="false">I15*(1-0.0154615384615385)</f>
        <v>0</v>
      </c>
      <c r="AQ15" s="83" t="s">
        <v>100</v>
      </c>
      <c r="AR15" s="51"/>
      <c r="AS15" s="51"/>
      <c r="AT15" s="51"/>
      <c r="AU15" s="51"/>
      <c r="AV15" s="82" t="n">
        <f aca="false">AW15+AX15</f>
        <v>0</v>
      </c>
      <c r="AW15" s="82" t="n">
        <f aca="false">H15*AO15</f>
        <v>0</v>
      </c>
      <c r="AX15" s="82" t="n">
        <f aca="false">H15*AP15</f>
        <v>0</v>
      </c>
      <c r="AY15" s="83" t="s">
        <v>105</v>
      </c>
      <c r="AZ15" s="83" t="s">
        <v>106</v>
      </c>
      <c r="BA15" s="64" t="s">
        <v>107</v>
      </c>
      <c r="BB15" s="51"/>
      <c r="BC15" s="82" t="n">
        <f aca="false">AW15+AX15</f>
        <v>0</v>
      </c>
      <c r="BD15" s="82" t="n">
        <f aca="false">I15/(100-BE15)*100</f>
        <v>0</v>
      </c>
      <c r="BE15" s="82" t="n">
        <v>0</v>
      </c>
      <c r="BF15" s="82" t="n">
        <f aca="false">15</f>
        <v>15</v>
      </c>
      <c r="BG15" s="51"/>
      <c r="BH15" s="82" t="n">
        <f aca="false">H15*AO15</f>
        <v>0</v>
      </c>
      <c r="BI15" s="82" t="n">
        <f aca="false">H15*AP15</f>
        <v>0</v>
      </c>
      <c r="BJ15" s="82" t="n">
        <f aca="false">H15*I15</f>
        <v>0</v>
      </c>
      <c r="BK15" s="82"/>
      <c r="BL15" s="82" t="n">
        <v>34</v>
      </c>
    </row>
    <row r="16" customFormat="false" ht="15" hidden="false" customHeight="true" outlineLevel="0" collapsed="false">
      <c r="A16" s="73"/>
      <c r="B16" s="74" t="s">
        <v>112</v>
      </c>
      <c r="C16" s="74" t="s">
        <v>113</v>
      </c>
      <c r="D16" s="74"/>
      <c r="E16" s="74"/>
      <c r="F16" s="74"/>
      <c r="G16" s="75" t="s">
        <v>65</v>
      </c>
      <c r="H16" s="75" t="s">
        <v>65</v>
      </c>
      <c r="I16" s="75" t="s">
        <v>65</v>
      </c>
      <c r="J16" s="76" t="n">
        <f aca="false">SUM(J17:J17)</f>
        <v>0</v>
      </c>
      <c r="K16" s="76" t="n">
        <f aca="false">SUM(K17:K17)</f>
        <v>0</v>
      </c>
      <c r="L16" s="76" t="n">
        <f aca="false">SUM(L17:L17)</f>
        <v>0</v>
      </c>
      <c r="M16" s="77"/>
      <c r="N16" s="53"/>
      <c r="O16" s="53"/>
      <c r="P16" s="53"/>
      <c r="Q16" s="53"/>
      <c r="R16" s="53"/>
      <c r="S16" s="53"/>
      <c r="T16" s="53"/>
      <c r="U16" s="53"/>
      <c r="V16" s="53"/>
      <c r="W16" s="53"/>
      <c r="X16" s="53"/>
      <c r="Y16" s="51"/>
      <c r="Z16" s="51"/>
      <c r="AA16" s="51"/>
      <c r="AB16" s="51"/>
      <c r="AC16" s="51"/>
      <c r="AD16" s="51"/>
      <c r="AE16" s="51"/>
      <c r="AF16" s="51"/>
      <c r="AG16" s="51"/>
      <c r="AH16" s="51"/>
      <c r="AI16" s="64" t="s">
        <v>99</v>
      </c>
      <c r="AJ16" s="51"/>
      <c r="AK16" s="51"/>
      <c r="AL16" s="51"/>
      <c r="AM16" s="51"/>
      <c r="AN16" s="51"/>
      <c r="AO16" s="51"/>
      <c r="AP16" s="51"/>
      <c r="AQ16" s="51"/>
      <c r="AR16" s="51"/>
      <c r="AS16" s="54" t="n">
        <f aca="false">SUM(AJ17:AJ17)</f>
        <v>0</v>
      </c>
      <c r="AT16" s="54" t="n">
        <f aca="false">SUM(AK17:AK17)</f>
        <v>0</v>
      </c>
      <c r="AU16" s="54" t="n">
        <f aca="false">SUM(AL17:AL17)</f>
        <v>0</v>
      </c>
      <c r="AV16" s="51"/>
      <c r="AW16" s="51"/>
      <c r="AX16" s="51"/>
      <c r="AY16" s="51"/>
      <c r="AZ16" s="51"/>
      <c r="BA16" s="51"/>
      <c r="BB16" s="51"/>
      <c r="BC16" s="51"/>
      <c r="BD16" s="51"/>
      <c r="BE16" s="51"/>
      <c r="BF16" s="51"/>
      <c r="BG16" s="51"/>
      <c r="BH16" s="51"/>
      <c r="BI16" s="51"/>
      <c r="BJ16" s="51"/>
      <c r="BK16" s="51"/>
      <c r="BL16" s="51"/>
    </row>
    <row r="17" customFormat="false" ht="15" hidden="false" customHeight="true" outlineLevel="0" collapsed="false">
      <c r="A17" s="78" t="s">
        <v>114</v>
      </c>
      <c r="B17" s="14" t="s">
        <v>115</v>
      </c>
      <c r="C17" s="14" t="s">
        <v>116</v>
      </c>
      <c r="D17" s="14"/>
      <c r="E17" s="14"/>
      <c r="F17" s="14"/>
      <c r="G17" s="14" t="s">
        <v>111</v>
      </c>
      <c r="H17" s="79" t="n">
        <v>38</v>
      </c>
      <c r="I17" s="80" t="n">
        <v>0</v>
      </c>
      <c r="J17" s="79" t="n">
        <f aca="false">H17*AO17</f>
        <v>0</v>
      </c>
      <c r="K17" s="79" t="n">
        <f aca="false">H17*AP17</f>
        <v>0</v>
      </c>
      <c r="L17" s="79" t="n">
        <f aca="false">H17*I17</f>
        <v>0</v>
      </c>
      <c r="M17" s="81" t="s">
        <v>104</v>
      </c>
      <c r="N17" s="53"/>
      <c r="O17" s="53"/>
      <c r="P17" s="53"/>
      <c r="Q17" s="53"/>
      <c r="R17" s="53"/>
      <c r="S17" s="53"/>
      <c r="T17" s="53"/>
      <c r="U17" s="53"/>
      <c r="V17" s="53"/>
      <c r="W17" s="53"/>
      <c r="X17" s="53"/>
      <c r="Y17" s="51"/>
      <c r="Z17" s="82" t="n">
        <f aca="false">IF(AQ17="5",BJ17,0)</f>
        <v>0</v>
      </c>
      <c r="AA17" s="51"/>
      <c r="AB17" s="82" t="n">
        <f aca="false">IF(AQ17="1",BH17,0)</f>
        <v>0</v>
      </c>
      <c r="AC17" s="82" t="n">
        <f aca="false">IF(AQ17="1",BI17,0)</f>
        <v>0</v>
      </c>
      <c r="AD17" s="82" t="n">
        <f aca="false">IF(AQ17="7",BH17,0)</f>
        <v>0</v>
      </c>
      <c r="AE17" s="82" t="n">
        <f aca="false">IF(AQ17="7",BI17,0)</f>
        <v>0</v>
      </c>
      <c r="AF17" s="82" t="n">
        <f aca="false">IF(AQ17="2",BH17,0)</f>
        <v>0</v>
      </c>
      <c r="AG17" s="82" t="n">
        <f aca="false">IF(AQ17="2",BI17,0)</f>
        <v>0</v>
      </c>
      <c r="AH17" s="82" t="n">
        <f aca="false">IF(AQ17="0",BJ17,0)</f>
        <v>0</v>
      </c>
      <c r="AI17" s="64" t="s">
        <v>99</v>
      </c>
      <c r="AJ17" s="82" t="n">
        <f aca="false">IF(AN17=0,L17,0)</f>
        <v>0</v>
      </c>
      <c r="AK17" s="82" t="n">
        <f aca="false">IF(AN17=15,L17,0)</f>
        <v>0</v>
      </c>
      <c r="AL17" s="82" t="n">
        <f aca="false">IF(AN17=21,L17,0)</f>
        <v>0</v>
      </c>
      <c r="AM17" s="51"/>
      <c r="AN17" s="82" t="n">
        <v>21</v>
      </c>
      <c r="AO17" s="82" t="n">
        <f aca="false">I17*0.142018721618387</f>
        <v>0</v>
      </c>
      <c r="AP17" s="82" t="n">
        <f aca="false">I17*(1-0.142018721618387)</f>
        <v>0</v>
      </c>
      <c r="AQ17" s="83" t="s">
        <v>100</v>
      </c>
      <c r="AR17" s="51"/>
      <c r="AS17" s="51"/>
      <c r="AT17" s="51"/>
      <c r="AU17" s="51"/>
      <c r="AV17" s="82" t="n">
        <f aca="false">AW17+AX17</f>
        <v>0</v>
      </c>
      <c r="AW17" s="82" t="n">
        <f aca="false">H17*AO17</f>
        <v>0</v>
      </c>
      <c r="AX17" s="82" t="n">
        <f aca="false">H17*AP17</f>
        <v>0</v>
      </c>
      <c r="AY17" s="83" t="s">
        <v>117</v>
      </c>
      <c r="AZ17" s="83" t="s">
        <v>118</v>
      </c>
      <c r="BA17" s="64" t="s">
        <v>107</v>
      </c>
      <c r="BB17" s="51"/>
      <c r="BC17" s="82" t="n">
        <f aca="false">AW17+AX17</f>
        <v>0</v>
      </c>
      <c r="BD17" s="82" t="n">
        <f aca="false">I17/(100-BE17)*100</f>
        <v>0</v>
      </c>
      <c r="BE17" s="82" t="n">
        <v>0</v>
      </c>
      <c r="BF17" s="82" t="n">
        <f aca="false">17</f>
        <v>17</v>
      </c>
      <c r="BG17" s="51"/>
      <c r="BH17" s="82" t="n">
        <f aca="false">H17*AO17</f>
        <v>0</v>
      </c>
      <c r="BI17" s="82" t="n">
        <f aca="false">H17*AP17</f>
        <v>0</v>
      </c>
      <c r="BJ17" s="82" t="n">
        <f aca="false">H17*I17</f>
        <v>0</v>
      </c>
      <c r="BK17" s="82"/>
      <c r="BL17" s="82" t="n">
        <v>41</v>
      </c>
    </row>
    <row r="18" customFormat="false" ht="15" hidden="false" customHeight="true" outlineLevel="0" collapsed="false">
      <c r="A18" s="73"/>
      <c r="B18" s="74" t="s">
        <v>119</v>
      </c>
      <c r="C18" s="74" t="s">
        <v>120</v>
      </c>
      <c r="D18" s="74"/>
      <c r="E18" s="74"/>
      <c r="F18" s="74"/>
      <c r="G18" s="75" t="s">
        <v>65</v>
      </c>
      <c r="H18" s="75" t="s">
        <v>65</v>
      </c>
      <c r="I18" s="75" t="s">
        <v>65</v>
      </c>
      <c r="J18" s="76" t="n">
        <f aca="false">SUM(J19:J19)</f>
        <v>0</v>
      </c>
      <c r="K18" s="76" t="n">
        <f aca="false">SUM(K19:K19)</f>
        <v>0</v>
      </c>
      <c r="L18" s="76" t="n">
        <f aca="false">SUM(L19:L19)</f>
        <v>0</v>
      </c>
      <c r="M18" s="77"/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64" t="s">
        <v>99</v>
      </c>
      <c r="AJ18" s="51"/>
      <c r="AK18" s="51"/>
      <c r="AL18" s="51"/>
      <c r="AM18" s="51"/>
      <c r="AN18" s="51"/>
      <c r="AO18" s="51"/>
      <c r="AP18" s="51"/>
      <c r="AQ18" s="51"/>
      <c r="AR18" s="51"/>
      <c r="AS18" s="54" t="n">
        <f aca="false">SUM(AJ19:AJ19)</f>
        <v>0</v>
      </c>
      <c r="AT18" s="54" t="n">
        <f aca="false">SUM(AK19:AK19)</f>
        <v>0</v>
      </c>
      <c r="AU18" s="54" t="n">
        <f aca="false">SUM(AL19:AL19)</f>
        <v>0</v>
      </c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</row>
    <row r="19" customFormat="false" ht="15" hidden="false" customHeight="true" outlineLevel="0" collapsed="false">
      <c r="A19" s="78" t="s">
        <v>121</v>
      </c>
      <c r="B19" s="14" t="s">
        <v>122</v>
      </c>
      <c r="C19" s="14" t="s">
        <v>123</v>
      </c>
      <c r="D19" s="14"/>
      <c r="E19" s="14"/>
      <c r="F19" s="14"/>
      <c r="G19" s="14" t="s">
        <v>124</v>
      </c>
      <c r="H19" s="79" t="n">
        <v>67.5</v>
      </c>
      <c r="I19" s="80" t="n">
        <v>0</v>
      </c>
      <c r="J19" s="79" t="n">
        <f aca="false">H19*AO19</f>
        <v>0</v>
      </c>
      <c r="K19" s="79" t="n">
        <f aca="false">H19*AP19</f>
        <v>0</v>
      </c>
      <c r="L19" s="79" t="n">
        <f aca="false">H19*I19</f>
        <v>0</v>
      </c>
      <c r="M19" s="81" t="s">
        <v>104</v>
      </c>
      <c r="N19" s="53"/>
      <c r="O19" s="53"/>
      <c r="P19" s="53"/>
      <c r="Q19" s="53"/>
      <c r="R19" s="53"/>
      <c r="S19" s="53"/>
      <c r="T19" s="53"/>
      <c r="U19" s="53"/>
      <c r="V19" s="53"/>
      <c r="W19" s="53"/>
      <c r="X19" s="53"/>
      <c r="Y19" s="51"/>
      <c r="Z19" s="82" t="n">
        <f aca="false">IF(AQ19="5",BJ19,0)</f>
        <v>0</v>
      </c>
      <c r="AA19" s="51"/>
      <c r="AB19" s="82" t="n">
        <f aca="false">IF(AQ19="1",BH19,0)</f>
        <v>0</v>
      </c>
      <c r="AC19" s="82" t="n">
        <f aca="false">IF(AQ19="1",BI19,0)</f>
        <v>0</v>
      </c>
      <c r="AD19" s="82" t="n">
        <f aca="false">IF(AQ19="7",BH19,0)</f>
        <v>0</v>
      </c>
      <c r="AE19" s="82" t="n">
        <f aca="false">IF(AQ19="7",BI19,0)</f>
        <v>0</v>
      </c>
      <c r="AF19" s="82" t="n">
        <f aca="false">IF(AQ19="2",BH19,0)</f>
        <v>0</v>
      </c>
      <c r="AG19" s="82" t="n">
        <f aca="false">IF(AQ19="2",BI19,0)</f>
        <v>0</v>
      </c>
      <c r="AH19" s="82" t="n">
        <f aca="false">IF(AQ19="0",BJ19,0)</f>
        <v>0</v>
      </c>
      <c r="AI19" s="64" t="s">
        <v>99</v>
      </c>
      <c r="AJ19" s="82" t="n">
        <f aca="false">IF(AN19=0,L19,0)</f>
        <v>0</v>
      </c>
      <c r="AK19" s="82" t="n">
        <f aca="false">IF(AN19=15,L19,0)</f>
        <v>0</v>
      </c>
      <c r="AL19" s="82" t="n">
        <f aca="false">IF(AN19=21,L19,0)</f>
        <v>0</v>
      </c>
      <c r="AM19" s="51"/>
      <c r="AN19" s="82" t="n">
        <v>21</v>
      </c>
      <c r="AO19" s="82" t="n">
        <f aca="false">I19*0.617441448433098</f>
        <v>0</v>
      </c>
      <c r="AP19" s="82" t="n">
        <f aca="false">I19*(1-0.617441448433098)</f>
        <v>0</v>
      </c>
      <c r="AQ19" s="83" t="s">
        <v>100</v>
      </c>
      <c r="AR19" s="51"/>
      <c r="AS19" s="51"/>
      <c r="AT19" s="51"/>
      <c r="AU19" s="51"/>
      <c r="AV19" s="82" t="n">
        <f aca="false">AW19+AX19</f>
        <v>0</v>
      </c>
      <c r="AW19" s="82" t="n">
        <f aca="false">H19*AO19</f>
        <v>0</v>
      </c>
      <c r="AX19" s="82" t="n">
        <f aca="false">H19*AP19</f>
        <v>0</v>
      </c>
      <c r="AY19" s="83" t="s">
        <v>125</v>
      </c>
      <c r="AZ19" s="83" t="s">
        <v>126</v>
      </c>
      <c r="BA19" s="64" t="s">
        <v>107</v>
      </c>
      <c r="BB19" s="51"/>
      <c r="BC19" s="82" t="n">
        <f aca="false">AW19+AX19</f>
        <v>0</v>
      </c>
      <c r="BD19" s="82" t="n">
        <f aca="false">I19/(100-BE19)*100</f>
        <v>0</v>
      </c>
      <c r="BE19" s="82" t="n">
        <v>0</v>
      </c>
      <c r="BF19" s="82" t="n">
        <f aca="false">19</f>
        <v>19</v>
      </c>
      <c r="BG19" s="51"/>
      <c r="BH19" s="82" t="n">
        <f aca="false">H19*AO19</f>
        <v>0</v>
      </c>
      <c r="BI19" s="82" t="n">
        <f aca="false">H19*AP19</f>
        <v>0</v>
      </c>
      <c r="BJ19" s="82" t="n">
        <f aca="false">H19*I19</f>
        <v>0</v>
      </c>
      <c r="BK19" s="82"/>
      <c r="BL19" s="82" t="n">
        <v>61</v>
      </c>
    </row>
    <row r="20" customFormat="false" ht="15" hidden="false" customHeight="true" outlineLevel="0" collapsed="false">
      <c r="A20" s="73"/>
      <c r="B20" s="74" t="s">
        <v>127</v>
      </c>
      <c r="C20" s="74" t="s">
        <v>128</v>
      </c>
      <c r="D20" s="74"/>
      <c r="E20" s="74"/>
      <c r="F20" s="74"/>
      <c r="G20" s="75" t="s">
        <v>65</v>
      </c>
      <c r="H20" s="75" t="s">
        <v>65</v>
      </c>
      <c r="I20" s="75" t="s">
        <v>65</v>
      </c>
      <c r="J20" s="76" t="n">
        <f aca="false">SUM(J21:J21)</f>
        <v>0</v>
      </c>
      <c r="K20" s="76" t="n">
        <f aca="false">SUM(K21:K21)</f>
        <v>0</v>
      </c>
      <c r="L20" s="76" t="n">
        <f aca="false">SUM(L21:L21)</f>
        <v>0</v>
      </c>
      <c r="M20" s="77"/>
      <c r="N20" s="53"/>
      <c r="O20" s="53"/>
      <c r="P20" s="53"/>
      <c r="Q20" s="53"/>
      <c r="R20" s="53"/>
      <c r="S20" s="53"/>
      <c r="T20" s="53"/>
      <c r="U20" s="53"/>
      <c r="V20" s="53"/>
      <c r="W20" s="53"/>
      <c r="X20" s="53"/>
      <c r="Y20" s="51"/>
      <c r="Z20" s="51"/>
      <c r="AA20" s="51"/>
      <c r="AB20" s="51"/>
      <c r="AC20" s="51"/>
      <c r="AD20" s="51"/>
      <c r="AE20" s="51"/>
      <c r="AF20" s="51"/>
      <c r="AG20" s="51"/>
      <c r="AH20" s="51"/>
      <c r="AI20" s="64" t="s">
        <v>99</v>
      </c>
      <c r="AJ20" s="51"/>
      <c r="AK20" s="51"/>
      <c r="AL20" s="51"/>
      <c r="AM20" s="51"/>
      <c r="AN20" s="51"/>
      <c r="AO20" s="51"/>
      <c r="AP20" s="51"/>
      <c r="AQ20" s="51"/>
      <c r="AR20" s="51"/>
      <c r="AS20" s="54" t="n">
        <f aca="false">SUM(AJ21:AJ21)</f>
        <v>0</v>
      </c>
      <c r="AT20" s="54" t="n">
        <f aca="false">SUM(AK21:AK21)</f>
        <v>0</v>
      </c>
      <c r="AU20" s="54" t="n">
        <f aca="false">SUM(AL21:AL21)</f>
        <v>0</v>
      </c>
      <c r="AV20" s="51"/>
      <c r="AW20" s="51"/>
      <c r="AX20" s="51"/>
      <c r="AY20" s="51"/>
      <c r="AZ20" s="51"/>
      <c r="BA20" s="51"/>
      <c r="BB20" s="51"/>
      <c r="BC20" s="51"/>
      <c r="BD20" s="51"/>
      <c r="BE20" s="51"/>
      <c r="BF20" s="51"/>
      <c r="BG20" s="51"/>
      <c r="BH20" s="51"/>
      <c r="BI20" s="51"/>
      <c r="BJ20" s="51"/>
      <c r="BK20" s="51"/>
      <c r="BL20" s="51"/>
    </row>
    <row r="21" customFormat="false" ht="15" hidden="false" customHeight="true" outlineLevel="0" collapsed="false">
      <c r="A21" s="78" t="s">
        <v>129</v>
      </c>
      <c r="B21" s="14" t="s">
        <v>130</v>
      </c>
      <c r="C21" s="14" t="s">
        <v>131</v>
      </c>
      <c r="D21" s="14"/>
      <c r="E21" s="14"/>
      <c r="F21" s="14"/>
      <c r="G21" s="14" t="s">
        <v>111</v>
      </c>
      <c r="H21" s="79" t="n">
        <v>38</v>
      </c>
      <c r="I21" s="80" t="n">
        <v>0</v>
      </c>
      <c r="J21" s="79" t="n">
        <f aca="false">H21*AO21</f>
        <v>0</v>
      </c>
      <c r="K21" s="79" t="n">
        <f aca="false">H21*AP21</f>
        <v>0</v>
      </c>
      <c r="L21" s="79" t="n">
        <f aca="false">H21*I21</f>
        <v>0</v>
      </c>
      <c r="M21" s="81" t="s">
        <v>104</v>
      </c>
      <c r="N21" s="53"/>
      <c r="O21" s="53"/>
      <c r="P21" s="53"/>
      <c r="Q21" s="53"/>
      <c r="R21" s="53"/>
      <c r="S21" s="53"/>
      <c r="T21" s="53"/>
      <c r="U21" s="53"/>
      <c r="V21" s="53"/>
      <c r="W21" s="53"/>
      <c r="X21" s="53"/>
      <c r="Y21" s="51"/>
      <c r="Z21" s="82" t="n">
        <f aca="false">IF(AQ21="5",BJ21,0)</f>
        <v>0</v>
      </c>
      <c r="AA21" s="51"/>
      <c r="AB21" s="82" t="n">
        <f aca="false">IF(AQ21="1",BH21,0)</f>
        <v>0</v>
      </c>
      <c r="AC21" s="82" t="n">
        <f aca="false">IF(AQ21="1",BI21,0)</f>
        <v>0</v>
      </c>
      <c r="AD21" s="82" t="n">
        <f aca="false">IF(AQ21="7",BH21,0)</f>
        <v>0</v>
      </c>
      <c r="AE21" s="82" t="n">
        <f aca="false">IF(AQ21="7",BI21,0)</f>
        <v>0</v>
      </c>
      <c r="AF21" s="82" t="n">
        <f aca="false">IF(AQ21="2",BH21,0)</f>
        <v>0</v>
      </c>
      <c r="AG21" s="82" t="n">
        <f aca="false">IF(AQ21="2",BI21,0)</f>
        <v>0</v>
      </c>
      <c r="AH21" s="82" t="n">
        <f aca="false">IF(AQ21="0",BJ21,0)</f>
        <v>0</v>
      </c>
      <c r="AI21" s="64" t="s">
        <v>99</v>
      </c>
      <c r="AJ21" s="82" t="n">
        <f aca="false">IF(AN21=0,L21,0)</f>
        <v>0</v>
      </c>
      <c r="AK21" s="82" t="n">
        <f aca="false">IF(AN21=15,L21,0)</f>
        <v>0</v>
      </c>
      <c r="AL21" s="82" t="n">
        <f aca="false">IF(AN21=21,L21,0)</f>
        <v>0</v>
      </c>
      <c r="AM21" s="51"/>
      <c r="AN21" s="82" t="n">
        <v>21</v>
      </c>
      <c r="AO21" s="82" t="n">
        <f aca="false">I21*0.665374638006929</f>
        <v>0</v>
      </c>
      <c r="AP21" s="82" t="n">
        <f aca="false">I21*(1-0.665374638006929)</f>
        <v>0</v>
      </c>
      <c r="AQ21" s="83" t="s">
        <v>132</v>
      </c>
      <c r="AR21" s="51"/>
      <c r="AS21" s="51"/>
      <c r="AT21" s="51"/>
      <c r="AU21" s="51"/>
      <c r="AV21" s="82" t="n">
        <f aca="false">AW21+AX21</f>
        <v>0</v>
      </c>
      <c r="AW21" s="82" t="n">
        <f aca="false">H21*AO21</f>
        <v>0</v>
      </c>
      <c r="AX21" s="82" t="n">
        <f aca="false">H21*AP21</f>
        <v>0</v>
      </c>
      <c r="AY21" s="83" t="s">
        <v>133</v>
      </c>
      <c r="AZ21" s="83" t="s">
        <v>134</v>
      </c>
      <c r="BA21" s="64" t="s">
        <v>107</v>
      </c>
      <c r="BB21" s="51"/>
      <c r="BC21" s="82" t="n">
        <f aca="false">AW21+AX21</f>
        <v>0</v>
      </c>
      <c r="BD21" s="82" t="n">
        <f aca="false">I21/(100-BE21)*100</f>
        <v>0</v>
      </c>
      <c r="BE21" s="82" t="n">
        <v>0</v>
      </c>
      <c r="BF21" s="82" t="n">
        <f aca="false">21</f>
        <v>21</v>
      </c>
      <c r="BG21" s="51"/>
      <c r="BH21" s="82" t="n">
        <f aca="false">H21*AO21</f>
        <v>0</v>
      </c>
      <c r="BI21" s="82" t="n">
        <f aca="false">H21*AP21</f>
        <v>0</v>
      </c>
      <c r="BJ21" s="82" t="n">
        <f aca="false">H21*I21</f>
        <v>0</v>
      </c>
      <c r="BK21" s="82"/>
      <c r="BL21" s="82" t="n">
        <v>713</v>
      </c>
    </row>
    <row r="22" customFormat="false" ht="15" hidden="false" customHeight="true" outlineLevel="0" collapsed="false">
      <c r="A22" s="73"/>
      <c r="B22" s="74" t="s">
        <v>135</v>
      </c>
      <c r="C22" s="74" t="s">
        <v>136</v>
      </c>
      <c r="D22" s="74"/>
      <c r="E22" s="74"/>
      <c r="F22" s="74"/>
      <c r="G22" s="75" t="s">
        <v>65</v>
      </c>
      <c r="H22" s="75" t="s">
        <v>65</v>
      </c>
      <c r="I22" s="75" t="s">
        <v>65</v>
      </c>
      <c r="J22" s="76" t="n">
        <f aca="false">SUM(J23:J113)</f>
        <v>0</v>
      </c>
      <c r="K22" s="76" t="n">
        <f aca="false">SUM(K23:K113)</f>
        <v>0</v>
      </c>
      <c r="L22" s="76" t="n">
        <f aca="false">SUM(L23:L113)</f>
        <v>0</v>
      </c>
      <c r="M22" s="77"/>
      <c r="N22" s="53"/>
      <c r="O22" s="53"/>
      <c r="P22" s="53"/>
      <c r="Q22" s="53"/>
      <c r="R22" s="53"/>
      <c r="S22" s="53"/>
      <c r="T22" s="53"/>
      <c r="U22" s="53"/>
      <c r="V22" s="53"/>
      <c r="W22" s="53"/>
      <c r="X22" s="53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64" t="s">
        <v>99</v>
      </c>
      <c r="AJ22" s="51"/>
      <c r="AK22" s="51"/>
      <c r="AL22" s="51"/>
      <c r="AM22" s="51"/>
      <c r="AN22" s="51"/>
      <c r="AO22" s="51"/>
      <c r="AP22" s="51"/>
      <c r="AQ22" s="51"/>
      <c r="AR22" s="51"/>
      <c r="AS22" s="54" t="n">
        <f aca="false">SUM(AJ23:AJ113)</f>
        <v>0</v>
      </c>
      <c r="AT22" s="54" t="n">
        <f aca="false">SUM(AK23:AK113)</f>
        <v>0</v>
      </c>
      <c r="AU22" s="54" t="n">
        <f aca="false">SUM(AL23:AL113)</f>
        <v>0</v>
      </c>
      <c r="AV22" s="51"/>
      <c r="AW22" s="51"/>
      <c r="AX22" s="51"/>
      <c r="AY22" s="51"/>
      <c r="AZ22" s="51"/>
      <c r="BA22" s="51"/>
      <c r="BB22" s="51"/>
      <c r="BC22" s="51"/>
      <c r="BD22" s="51"/>
      <c r="BE22" s="51"/>
      <c r="BF22" s="51"/>
      <c r="BG22" s="51"/>
      <c r="BH22" s="51"/>
      <c r="BI22" s="51"/>
      <c r="BJ22" s="51"/>
      <c r="BK22" s="51"/>
      <c r="BL22" s="51"/>
    </row>
    <row r="23" customFormat="false" ht="15" hidden="false" customHeight="true" outlineLevel="0" collapsed="false">
      <c r="A23" s="78" t="s">
        <v>137</v>
      </c>
      <c r="B23" s="14" t="s">
        <v>138</v>
      </c>
      <c r="C23" s="14" t="s">
        <v>139</v>
      </c>
      <c r="D23" s="14"/>
      <c r="E23" s="14"/>
      <c r="F23" s="14"/>
      <c r="G23" s="14" t="s">
        <v>124</v>
      </c>
      <c r="H23" s="79" t="n">
        <v>89.5</v>
      </c>
      <c r="I23" s="80" t="n">
        <v>0</v>
      </c>
      <c r="J23" s="79" t="n">
        <f aca="false">H23*AO23</f>
        <v>0</v>
      </c>
      <c r="K23" s="79" t="n">
        <f aca="false">H23*AP23</f>
        <v>0</v>
      </c>
      <c r="L23" s="79" t="n">
        <f aca="false">H23*I23</f>
        <v>0</v>
      </c>
      <c r="M23" s="81" t="s">
        <v>104</v>
      </c>
      <c r="N23" s="53"/>
      <c r="O23" s="53"/>
      <c r="P23" s="53"/>
      <c r="Q23" s="53"/>
      <c r="R23" s="53"/>
      <c r="S23" s="53"/>
      <c r="T23" s="53"/>
      <c r="U23" s="53"/>
      <c r="V23" s="53"/>
      <c r="W23" s="53"/>
      <c r="X23" s="53"/>
      <c r="Y23" s="51"/>
      <c r="Z23" s="82" t="n">
        <f aca="false">IF(AQ23="5",BJ23,0)</f>
        <v>0</v>
      </c>
      <c r="AA23" s="51"/>
      <c r="AB23" s="82" t="n">
        <f aca="false">IF(AQ23="1",BH23,0)</f>
        <v>0</v>
      </c>
      <c r="AC23" s="82" t="n">
        <f aca="false">IF(AQ23="1",BI23,0)</f>
        <v>0</v>
      </c>
      <c r="AD23" s="82" t="n">
        <f aca="false">IF(AQ23="7",BH23,0)</f>
        <v>0</v>
      </c>
      <c r="AE23" s="82" t="n">
        <f aca="false">IF(AQ23="7",BI23,0)</f>
        <v>0</v>
      </c>
      <c r="AF23" s="82" t="n">
        <f aca="false">IF(AQ23="2",BH23,0)</f>
        <v>0</v>
      </c>
      <c r="AG23" s="82" t="n">
        <f aca="false">IF(AQ23="2",BI23,0)</f>
        <v>0</v>
      </c>
      <c r="AH23" s="82" t="n">
        <f aca="false">IF(AQ23="0",BJ23,0)</f>
        <v>0</v>
      </c>
      <c r="AI23" s="64" t="s">
        <v>99</v>
      </c>
      <c r="AJ23" s="82" t="n">
        <f aca="false">IF(AN23=0,L23,0)</f>
        <v>0</v>
      </c>
      <c r="AK23" s="82" t="n">
        <f aca="false">IF(AN23=15,L23,0)</f>
        <v>0</v>
      </c>
      <c r="AL23" s="82" t="n">
        <f aca="false">IF(AN23=21,L23,0)</f>
        <v>0</v>
      </c>
      <c r="AM23" s="51"/>
      <c r="AN23" s="82" t="n">
        <v>21</v>
      </c>
      <c r="AO23" s="82" t="n">
        <f aca="false">I23*0</f>
        <v>0</v>
      </c>
      <c r="AP23" s="82" t="n">
        <f aca="false">I23*(1-0)</f>
        <v>0</v>
      </c>
      <c r="AQ23" s="83" t="s">
        <v>132</v>
      </c>
      <c r="AR23" s="51"/>
      <c r="AS23" s="51"/>
      <c r="AT23" s="51"/>
      <c r="AU23" s="51"/>
      <c r="AV23" s="82" t="n">
        <f aca="false">AW23+AX23</f>
        <v>0</v>
      </c>
      <c r="AW23" s="82" t="n">
        <f aca="false">H23*AO23</f>
        <v>0</v>
      </c>
      <c r="AX23" s="82" t="n">
        <f aca="false">H23*AP23</f>
        <v>0</v>
      </c>
      <c r="AY23" s="83" t="s">
        <v>140</v>
      </c>
      <c r="AZ23" s="83" t="s">
        <v>141</v>
      </c>
      <c r="BA23" s="64" t="s">
        <v>107</v>
      </c>
      <c r="BB23" s="51"/>
      <c r="BC23" s="82" t="n">
        <f aca="false">AW23+AX23</f>
        <v>0</v>
      </c>
      <c r="BD23" s="82" t="n">
        <f aca="false">I23/(100-BE23)*100</f>
        <v>0</v>
      </c>
      <c r="BE23" s="82" t="n">
        <v>0</v>
      </c>
      <c r="BF23" s="82" t="n">
        <f aca="false">23</f>
        <v>23</v>
      </c>
      <c r="BG23" s="51"/>
      <c r="BH23" s="82" t="n">
        <f aca="false">H23*AO23</f>
        <v>0</v>
      </c>
      <c r="BI23" s="82" t="n">
        <f aca="false">H23*AP23</f>
        <v>0</v>
      </c>
      <c r="BJ23" s="82" t="n">
        <f aca="false">H23*I23</f>
        <v>0</v>
      </c>
      <c r="BK23" s="82"/>
      <c r="BL23" s="82" t="n">
        <v>722</v>
      </c>
    </row>
    <row r="24" customFormat="false" ht="15" hidden="false" customHeight="true" outlineLevel="0" collapsed="false">
      <c r="A24" s="78" t="s">
        <v>132</v>
      </c>
      <c r="B24" s="14" t="s">
        <v>142</v>
      </c>
      <c r="C24" s="14" t="s">
        <v>143</v>
      </c>
      <c r="D24" s="14"/>
      <c r="E24" s="14"/>
      <c r="F24" s="14"/>
      <c r="G24" s="14" t="s">
        <v>124</v>
      </c>
      <c r="H24" s="79" t="n">
        <v>23.2</v>
      </c>
      <c r="I24" s="80" t="n">
        <v>0</v>
      </c>
      <c r="J24" s="79" t="n">
        <f aca="false">H24*AO24</f>
        <v>0</v>
      </c>
      <c r="K24" s="79" t="n">
        <f aca="false">H24*AP24</f>
        <v>0</v>
      </c>
      <c r="L24" s="79" t="n">
        <f aca="false">H24*I24</f>
        <v>0</v>
      </c>
      <c r="M24" s="81" t="s">
        <v>104</v>
      </c>
      <c r="N24" s="53"/>
      <c r="O24" s="53"/>
      <c r="P24" s="53"/>
      <c r="Q24" s="53"/>
      <c r="R24" s="53"/>
      <c r="S24" s="53"/>
      <c r="T24" s="53"/>
      <c r="U24" s="53"/>
      <c r="V24" s="53"/>
      <c r="W24" s="53"/>
      <c r="X24" s="53"/>
      <c r="Y24" s="51"/>
      <c r="Z24" s="82" t="n">
        <f aca="false">IF(AQ24="5",BJ24,0)</f>
        <v>0</v>
      </c>
      <c r="AA24" s="51"/>
      <c r="AB24" s="82" t="n">
        <f aca="false">IF(AQ24="1",BH24,0)</f>
        <v>0</v>
      </c>
      <c r="AC24" s="82" t="n">
        <f aca="false">IF(AQ24="1",BI24,0)</f>
        <v>0</v>
      </c>
      <c r="AD24" s="82" t="n">
        <f aca="false">IF(AQ24="7",BH24,0)</f>
        <v>0</v>
      </c>
      <c r="AE24" s="82" t="n">
        <f aca="false">IF(AQ24="7",BI24,0)</f>
        <v>0</v>
      </c>
      <c r="AF24" s="82" t="n">
        <f aca="false">IF(AQ24="2",BH24,0)</f>
        <v>0</v>
      </c>
      <c r="AG24" s="82" t="n">
        <f aca="false">IF(AQ24="2",BI24,0)</f>
        <v>0</v>
      </c>
      <c r="AH24" s="82" t="n">
        <f aca="false">IF(AQ24="0",BJ24,0)</f>
        <v>0</v>
      </c>
      <c r="AI24" s="64" t="s">
        <v>99</v>
      </c>
      <c r="AJ24" s="82" t="n">
        <f aca="false">IF(AN24=0,L24,0)</f>
        <v>0</v>
      </c>
      <c r="AK24" s="82" t="n">
        <f aca="false">IF(AN24=15,L24,0)</f>
        <v>0</v>
      </c>
      <c r="AL24" s="82" t="n">
        <f aca="false">IF(AN24=21,L24,0)</f>
        <v>0</v>
      </c>
      <c r="AM24" s="51"/>
      <c r="AN24" s="82" t="n">
        <v>21</v>
      </c>
      <c r="AO24" s="82" t="n">
        <f aca="false">I24*0</f>
        <v>0</v>
      </c>
      <c r="AP24" s="82" t="n">
        <f aca="false">I24*(1-0)</f>
        <v>0</v>
      </c>
      <c r="AQ24" s="83" t="s">
        <v>132</v>
      </c>
      <c r="AR24" s="51"/>
      <c r="AS24" s="51"/>
      <c r="AT24" s="51"/>
      <c r="AU24" s="51"/>
      <c r="AV24" s="82" t="n">
        <f aca="false">AW24+AX24</f>
        <v>0</v>
      </c>
      <c r="AW24" s="82" t="n">
        <f aca="false">H24*AO24</f>
        <v>0</v>
      </c>
      <c r="AX24" s="82" t="n">
        <f aca="false">H24*AP24</f>
        <v>0</v>
      </c>
      <c r="AY24" s="83" t="s">
        <v>140</v>
      </c>
      <c r="AZ24" s="83" t="s">
        <v>141</v>
      </c>
      <c r="BA24" s="64" t="s">
        <v>107</v>
      </c>
      <c r="BB24" s="51"/>
      <c r="BC24" s="82" t="n">
        <f aca="false">AW24+AX24</f>
        <v>0</v>
      </c>
      <c r="BD24" s="82" t="n">
        <f aca="false">I24/(100-BE24)*100</f>
        <v>0</v>
      </c>
      <c r="BE24" s="82" t="n">
        <v>0</v>
      </c>
      <c r="BF24" s="82" t="n">
        <f aca="false">24</f>
        <v>24</v>
      </c>
      <c r="BG24" s="51"/>
      <c r="BH24" s="82" t="n">
        <f aca="false">H24*AO24</f>
        <v>0</v>
      </c>
      <c r="BI24" s="82" t="n">
        <f aca="false">H24*AP24</f>
        <v>0</v>
      </c>
      <c r="BJ24" s="82" t="n">
        <f aca="false">H24*I24</f>
        <v>0</v>
      </c>
      <c r="BK24" s="82"/>
      <c r="BL24" s="82" t="n">
        <v>722</v>
      </c>
    </row>
    <row r="25" customFormat="false" ht="15" hidden="false" customHeight="true" outlineLevel="0" collapsed="false">
      <c r="A25" s="78" t="s">
        <v>144</v>
      </c>
      <c r="B25" s="14" t="s">
        <v>145</v>
      </c>
      <c r="C25" s="14" t="s">
        <v>146</v>
      </c>
      <c r="D25" s="14"/>
      <c r="E25" s="14"/>
      <c r="F25" s="14"/>
      <c r="G25" s="14" t="s">
        <v>124</v>
      </c>
      <c r="H25" s="79" t="n">
        <v>317.3</v>
      </c>
      <c r="I25" s="80" t="n">
        <v>0</v>
      </c>
      <c r="J25" s="79" t="n">
        <f aca="false">H25*AO25</f>
        <v>0</v>
      </c>
      <c r="K25" s="79" t="n">
        <f aca="false">H25*AP25</f>
        <v>0</v>
      </c>
      <c r="L25" s="79" t="n">
        <f aca="false">H25*I25</f>
        <v>0</v>
      </c>
      <c r="M25" s="81" t="s">
        <v>104</v>
      </c>
      <c r="N25" s="53"/>
      <c r="O25" s="53"/>
      <c r="P25" s="53"/>
      <c r="Q25" s="53"/>
      <c r="R25" s="53"/>
      <c r="S25" s="53"/>
      <c r="T25" s="53"/>
      <c r="U25" s="53"/>
      <c r="V25" s="53"/>
      <c r="W25" s="53"/>
      <c r="X25" s="53"/>
      <c r="Y25" s="51"/>
      <c r="Z25" s="82" t="n">
        <f aca="false">IF(AQ25="5",BJ25,0)</f>
        <v>0</v>
      </c>
      <c r="AA25" s="51"/>
      <c r="AB25" s="82" t="n">
        <f aca="false">IF(AQ25="1",BH25,0)</f>
        <v>0</v>
      </c>
      <c r="AC25" s="82" t="n">
        <f aca="false">IF(AQ25="1",BI25,0)</f>
        <v>0</v>
      </c>
      <c r="AD25" s="82" t="n">
        <f aca="false">IF(AQ25="7",BH25,0)</f>
        <v>0</v>
      </c>
      <c r="AE25" s="82" t="n">
        <f aca="false">IF(AQ25="7",BI25,0)</f>
        <v>0</v>
      </c>
      <c r="AF25" s="82" t="n">
        <f aca="false">IF(AQ25="2",BH25,0)</f>
        <v>0</v>
      </c>
      <c r="AG25" s="82" t="n">
        <f aca="false">IF(AQ25="2",BI25,0)</f>
        <v>0</v>
      </c>
      <c r="AH25" s="82" t="n">
        <f aca="false">IF(AQ25="0",BJ25,0)</f>
        <v>0</v>
      </c>
      <c r="AI25" s="64" t="s">
        <v>99</v>
      </c>
      <c r="AJ25" s="82" t="n">
        <f aca="false">IF(AN25=0,L25,0)</f>
        <v>0</v>
      </c>
      <c r="AK25" s="82" t="n">
        <f aca="false">IF(AN25=15,L25,0)</f>
        <v>0</v>
      </c>
      <c r="AL25" s="82" t="n">
        <f aca="false">IF(AN25=21,L25,0)</f>
        <v>0</v>
      </c>
      <c r="AM25" s="51"/>
      <c r="AN25" s="82" t="n">
        <v>21</v>
      </c>
      <c r="AO25" s="82" t="n">
        <f aca="false">I25*0</f>
        <v>0</v>
      </c>
      <c r="AP25" s="82" t="n">
        <f aca="false">I25*(1-0)</f>
        <v>0</v>
      </c>
      <c r="AQ25" s="83" t="s">
        <v>132</v>
      </c>
      <c r="AR25" s="51"/>
      <c r="AS25" s="51"/>
      <c r="AT25" s="51"/>
      <c r="AU25" s="51"/>
      <c r="AV25" s="82" t="n">
        <f aca="false">AW25+AX25</f>
        <v>0</v>
      </c>
      <c r="AW25" s="82" t="n">
        <f aca="false">H25*AO25</f>
        <v>0</v>
      </c>
      <c r="AX25" s="82" t="n">
        <f aca="false">H25*AP25</f>
        <v>0</v>
      </c>
      <c r="AY25" s="83" t="s">
        <v>140</v>
      </c>
      <c r="AZ25" s="83" t="s">
        <v>141</v>
      </c>
      <c r="BA25" s="64" t="s">
        <v>107</v>
      </c>
      <c r="BB25" s="51"/>
      <c r="BC25" s="82" t="n">
        <f aca="false">AW25+AX25</f>
        <v>0</v>
      </c>
      <c r="BD25" s="82" t="n">
        <f aca="false">I25/(100-BE25)*100</f>
        <v>0</v>
      </c>
      <c r="BE25" s="82" t="n">
        <v>0</v>
      </c>
      <c r="BF25" s="82" t="n">
        <f aca="false">25</f>
        <v>25</v>
      </c>
      <c r="BG25" s="51"/>
      <c r="BH25" s="82" t="n">
        <f aca="false">H25*AO25</f>
        <v>0</v>
      </c>
      <c r="BI25" s="82" t="n">
        <f aca="false">H25*AP25</f>
        <v>0</v>
      </c>
      <c r="BJ25" s="82" t="n">
        <f aca="false">H25*I25</f>
        <v>0</v>
      </c>
      <c r="BK25" s="82"/>
      <c r="BL25" s="82" t="n">
        <v>722</v>
      </c>
    </row>
    <row r="26" customFormat="false" ht="15" hidden="false" customHeight="true" outlineLevel="0" collapsed="false">
      <c r="A26" s="78" t="s">
        <v>147</v>
      </c>
      <c r="B26" s="14" t="s">
        <v>148</v>
      </c>
      <c r="C26" s="14" t="s">
        <v>149</v>
      </c>
      <c r="D26" s="14"/>
      <c r="E26" s="14"/>
      <c r="F26" s="14"/>
      <c r="G26" s="14" t="s">
        <v>124</v>
      </c>
      <c r="H26" s="79" t="n">
        <v>659.2</v>
      </c>
      <c r="I26" s="80" t="n">
        <v>0</v>
      </c>
      <c r="J26" s="79" t="n">
        <f aca="false">H26*AO26</f>
        <v>0</v>
      </c>
      <c r="K26" s="79" t="n">
        <f aca="false">H26*AP26</f>
        <v>0</v>
      </c>
      <c r="L26" s="79" t="n">
        <f aca="false">H26*I26</f>
        <v>0</v>
      </c>
      <c r="M26" s="81" t="s">
        <v>104</v>
      </c>
      <c r="N26" s="53"/>
      <c r="O26" s="53"/>
      <c r="P26" s="53"/>
      <c r="Q26" s="53"/>
      <c r="R26" s="53"/>
      <c r="S26" s="53"/>
      <c r="T26" s="53"/>
      <c r="U26" s="53"/>
      <c r="V26" s="53"/>
      <c r="W26" s="53"/>
      <c r="X26" s="53"/>
      <c r="Y26" s="51"/>
      <c r="Z26" s="82" t="n">
        <f aca="false">IF(AQ26="5",BJ26,0)</f>
        <v>0</v>
      </c>
      <c r="AA26" s="51"/>
      <c r="AB26" s="82" t="n">
        <f aca="false">IF(AQ26="1",BH26,0)</f>
        <v>0</v>
      </c>
      <c r="AC26" s="82" t="n">
        <f aca="false">IF(AQ26="1",BI26,0)</f>
        <v>0</v>
      </c>
      <c r="AD26" s="82" t="n">
        <f aca="false">IF(AQ26="7",BH26,0)</f>
        <v>0</v>
      </c>
      <c r="AE26" s="82" t="n">
        <f aca="false">IF(AQ26="7",BI26,0)</f>
        <v>0</v>
      </c>
      <c r="AF26" s="82" t="n">
        <f aca="false">IF(AQ26="2",BH26,0)</f>
        <v>0</v>
      </c>
      <c r="AG26" s="82" t="n">
        <f aca="false">IF(AQ26="2",BI26,0)</f>
        <v>0</v>
      </c>
      <c r="AH26" s="82" t="n">
        <f aca="false">IF(AQ26="0",BJ26,0)</f>
        <v>0</v>
      </c>
      <c r="AI26" s="64" t="s">
        <v>99</v>
      </c>
      <c r="AJ26" s="82" t="n">
        <f aca="false">IF(AN26=0,L26,0)</f>
        <v>0</v>
      </c>
      <c r="AK26" s="82" t="n">
        <f aca="false">IF(AN26=15,L26,0)</f>
        <v>0</v>
      </c>
      <c r="AL26" s="82" t="n">
        <f aca="false">IF(AN26=21,L26,0)</f>
        <v>0</v>
      </c>
      <c r="AM26" s="51"/>
      <c r="AN26" s="82" t="n">
        <v>21</v>
      </c>
      <c r="AO26" s="82" t="n">
        <f aca="false">I26*0</f>
        <v>0</v>
      </c>
      <c r="AP26" s="82" t="n">
        <f aca="false">I26*(1-0)</f>
        <v>0</v>
      </c>
      <c r="AQ26" s="83" t="s">
        <v>132</v>
      </c>
      <c r="AR26" s="51"/>
      <c r="AS26" s="51"/>
      <c r="AT26" s="51"/>
      <c r="AU26" s="51"/>
      <c r="AV26" s="82" t="n">
        <f aca="false">AW26+AX26</f>
        <v>0</v>
      </c>
      <c r="AW26" s="82" t="n">
        <f aca="false">H26*AO26</f>
        <v>0</v>
      </c>
      <c r="AX26" s="82" t="n">
        <f aca="false">H26*AP26</f>
        <v>0</v>
      </c>
      <c r="AY26" s="83" t="s">
        <v>140</v>
      </c>
      <c r="AZ26" s="83" t="s">
        <v>141</v>
      </c>
      <c r="BA26" s="64" t="s">
        <v>107</v>
      </c>
      <c r="BB26" s="51"/>
      <c r="BC26" s="82" t="n">
        <f aca="false">AW26+AX26</f>
        <v>0</v>
      </c>
      <c r="BD26" s="82" t="n">
        <f aca="false">I26/(100-BE26)*100</f>
        <v>0</v>
      </c>
      <c r="BE26" s="82" t="n">
        <v>0</v>
      </c>
      <c r="BF26" s="82" t="n">
        <f aca="false">26</f>
        <v>26</v>
      </c>
      <c r="BG26" s="51"/>
      <c r="BH26" s="82" t="n">
        <f aca="false">H26*AO26</f>
        <v>0</v>
      </c>
      <c r="BI26" s="82" t="n">
        <f aca="false">H26*AP26</f>
        <v>0</v>
      </c>
      <c r="BJ26" s="82" t="n">
        <f aca="false">H26*I26</f>
        <v>0</v>
      </c>
      <c r="BK26" s="82"/>
      <c r="BL26" s="82" t="n">
        <v>722</v>
      </c>
    </row>
    <row r="27" customFormat="false" ht="15" hidden="false" customHeight="true" outlineLevel="0" collapsed="false">
      <c r="A27" s="78" t="s">
        <v>150</v>
      </c>
      <c r="B27" s="14" t="s">
        <v>151</v>
      </c>
      <c r="C27" s="14" t="s">
        <v>152</v>
      </c>
      <c r="D27" s="14"/>
      <c r="E27" s="14"/>
      <c r="F27" s="14"/>
      <c r="G27" s="14" t="s">
        <v>111</v>
      </c>
      <c r="H27" s="79" t="n">
        <v>143</v>
      </c>
      <c r="I27" s="80" t="n">
        <v>0</v>
      </c>
      <c r="J27" s="79" t="n">
        <f aca="false">H27*AO27</f>
        <v>0</v>
      </c>
      <c r="K27" s="79" t="n">
        <f aca="false">H27*AP27</f>
        <v>0</v>
      </c>
      <c r="L27" s="79" t="n">
        <f aca="false">H27*I27</f>
        <v>0</v>
      </c>
      <c r="M27" s="81" t="s">
        <v>104</v>
      </c>
      <c r="N27" s="53"/>
      <c r="O27" s="53"/>
      <c r="P27" s="53"/>
      <c r="Q27" s="53"/>
      <c r="R27" s="53"/>
      <c r="S27" s="53"/>
      <c r="T27" s="53"/>
      <c r="U27" s="53"/>
      <c r="V27" s="53"/>
      <c r="W27" s="53"/>
      <c r="X27" s="53"/>
      <c r="Y27" s="51"/>
      <c r="Z27" s="82" t="n">
        <f aca="false">IF(AQ27="5",BJ27,0)</f>
        <v>0</v>
      </c>
      <c r="AA27" s="51"/>
      <c r="AB27" s="82" t="n">
        <f aca="false">IF(AQ27="1",BH27,0)</f>
        <v>0</v>
      </c>
      <c r="AC27" s="82" t="n">
        <f aca="false">IF(AQ27="1",BI27,0)</f>
        <v>0</v>
      </c>
      <c r="AD27" s="82" t="n">
        <f aca="false">IF(AQ27="7",BH27,0)</f>
        <v>0</v>
      </c>
      <c r="AE27" s="82" t="n">
        <f aca="false">IF(AQ27="7",BI27,0)</f>
        <v>0</v>
      </c>
      <c r="AF27" s="82" t="n">
        <f aca="false">IF(AQ27="2",BH27,0)</f>
        <v>0</v>
      </c>
      <c r="AG27" s="82" t="n">
        <f aca="false">IF(AQ27="2",BI27,0)</f>
        <v>0</v>
      </c>
      <c r="AH27" s="82" t="n">
        <f aca="false">IF(AQ27="0",BJ27,0)</f>
        <v>0</v>
      </c>
      <c r="AI27" s="64" t="s">
        <v>99</v>
      </c>
      <c r="AJ27" s="82" t="n">
        <f aca="false">IF(AN27=0,L27,0)</f>
        <v>0</v>
      </c>
      <c r="AK27" s="82" t="n">
        <f aca="false">IF(AN27=15,L27,0)</f>
        <v>0</v>
      </c>
      <c r="AL27" s="82" t="n">
        <f aca="false">IF(AN27=21,L27,0)</f>
        <v>0</v>
      </c>
      <c r="AM27" s="51"/>
      <c r="AN27" s="82" t="n">
        <v>21</v>
      </c>
      <c r="AO27" s="82" t="n">
        <f aca="false">I27*0</f>
        <v>0</v>
      </c>
      <c r="AP27" s="82" t="n">
        <f aca="false">I27*(1-0)</f>
        <v>0</v>
      </c>
      <c r="AQ27" s="83" t="s">
        <v>132</v>
      </c>
      <c r="AR27" s="51"/>
      <c r="AS27" s="51"/>
      <c r="AT27" s="51"/>
      <c r="AU27" s="51"/>
      <c r="AV27" s="82" t="n">
        <f aca="false">AW27+AX27</f>
        <v>0</v>
      </c>
      <c r="AW27" s="82" t="n">
        <f aca="false">H27*AO27</f>
        <v>0</v>
      </c>
      <c r="AX27" s="82" t="n">
        <f aca="false">H27*AP27</f>
        <v>0</v>
      </c>
      <c r="AY27" s="83" t="s">
        <v>140</v>
      </c>
      <c r="AZ27" s="83" t="s">
        <v>141</v>
      </c>
      <c r="BA27" s="64" t="s">
        <v>107</v>
      </c>
      <c r="BB27" s="51"/>
      <c r="BC27" s="82" t="n">
        <f aca="false">AW27+AX27</f>
        <v>0</v>
      </c>
      <c r="BD27" s="82" t="n">
        <f aca="false">I27/(100-BE27)*100</f>
        <v>0</v>
      </c>
      <c r="BE27" s="82" t="n">
        <v>0</v>
      </c>
      <c r="BF27" s="82" t="n">
        <f aca="false">27</f>
        <v>27</v>
      </c>
      <c r="BG27" s="51"/>
      <c r="BH27" s="82" t="n">
        <f aca="false">H27*AO27</f>
        <v>0</v>
      </c>
      <c r="BI27" s="82" t="n">
        <f aca="false">H27*AP27</f>
        <v>0</v>
      </c>
      <c r="BJ27" s="82" t="n">
        <f aca="false">H27*I27</f>
        <v>0</v>
      </c>
      <c r="BK27" s="82"/>
      <c r="BL27" s="82" t="n">
        <v>722</v>
      </c>
    </row>
    <row r="28" customFormat="false" ht="15" hidden="false" customHeight="true" outlineLevel="0" collapsed="false">
      <c r="A28" s="78" t="s">
        <v>153</v>
      </c>
      <c r="B28" s="14" t="s">
        <v>154</v>
      </c>
      <c r="C28" s="14" t="s">
        <v>155</v>
      </c>
      <c r="D28" s="14"/>
      <c r="E28" s="14"/>
      <c r="F28" s="14"/>
      <c r="G28" s="14" t="s">
        <v>111</v>
      </c>
      <c r="H28" s="79" t="n">
        <v>43</v>
      </c>
      <c r="I28" s="80" t="n">
        <v>0</v>
      </c>
      <c r="J28" s="79" t="n">
        <f aca="false">H28*AO28</f>
        <v>0</v>
      </c>
      <c r="K28" s="79" t="n">
        <f aca="false">H28*AP28</f>
        <v>0</v>
      </c>
      <c r="L28" s="79" t="n">
        <f aca="false">H28*I28</f>
        <v>0</v>
      </c>
      <c r="M28" s="81" t="s">
        <v>104</v>
      </c>
      <c r="N28" s="53"/>
      <c r="O28" s="53"/>
      <c r="P28" s="53"/>
      <c r="Q28" s="53"/>
      <c r="R28" s="53"/>
      <c r="S28" s="53"/>
      <c r="T28" s="53"/>
      <c r="U28" s="53"/>
      <c r="V28" s="53"/>
      <c r="W28" s="53"/>
      <c r="X28" s="53"/>
      <c r="Y28" s="51"/>
      <c r="Z28" s="82" t="n">
        <f aca="false">IF(AQ28="5",BJ28,0)</f>
        <v>0</v>
      </c>
      <c r="AA28" s="51"/>
      <c r="AB28" s="82" t="n">
        <f aca="false">IF(AQ28="1",BH28,0)</f>
        <v>0</v>
      </c>
      <c r="AC28" s="82" t="n">
        <f aca="false">IF(AQ28="1",BI28,0)</f>
        <v>0</v>
      </c>
      <c r="AD28" s="82" t="n">
        <f aca="false">IF(AQ28="7",BH28,0)</f>
        <v>0</v>
      </c>
      <c r="AE28" s="82" t="n">
        <f aca="false">IF(AQ28="7",BI28,0)</f>
        <v>0</v>
      </c>
      <c r="AF28" s="82" t="n">
        <f aca="false">IF(AQ28="2",BH28,0)</f>
        <v>0</v>
      </c>
      <c r="AG28" s="82" t="n">
        <f aca="false">IF(AQ28="2",BI28,0)</f>
        <v>0</v>
      </c>
      <c r="AH28" s="82" t="n">
        <f aca="false">IF(AQ28="0",BJ28,0)</f>
        <v>0</v>
      </c>
      <c r="AI28" s="64" t="s">
        <v>99</v>
      </c>
      <c r="AJ28" s="82" t="n">
        <f aca="false">IF(AN28=0,L28,0)</f>
        <v>0</v>
      </c>
      <c r="AK28" s="82" t="n">
        <f aca="false">IF(AN28=15,L28,0)</f>
        <v>0</v>
      </c>
      <c r="AL28" s="82" t="n">
        <f aca="false">IF(AN28=21,L28,0)</f>
        <v>0</v>
      </c>
      <c r="AM28" s="51"/>
      <c r="AN28" s="82" t="n">
        <v>21</v>
      </c>
      <c r="AO28" s="82" t="n">
        <f aca="false">I28*0</f>
        <v>0</v>
      </c>
      <c r="AP28" s="82" t="n">
        <f aca="false">I28*(1-0)</f>
        <v>0</v>
      </c>
      <c r="AQ28" s="83" t="s">
        <v>132</v>
      </c>
      <c r="AR28" s="51"/>
      <c r="AS28" s="51"/>
      <c r="AT28" s="51"/>
      <c r="AU28" s="51"/>
      <c r="AV28" s="82" t="n">
        <f aca="false">AW28+AX28</f>
        <v>0</v>
      </c>
      <c r="AW28" s="82" t="n">
        <f aca="false">H28*AO28</f>
        <v>0</v>
      </c>
      <c r="AX28" s="82" t="n">
        <f aca="false">H28*AP28</f>
        <v>0</v>
      </c>
      <c r="AY28" s="83" t="s">
        <v>140</v>
      </c>
      <c r="AZ28" s="83" t="s">
        <v>141</v>
      </c>
      <c r="BA28" s="64" t="s">
        <v>107</v>
      </c>
      <c r="BB28" s="51"/>
      <c r="BC28" s="82" t="n">
        <f aca="false">AW28+AX28</f>
        <v>0</v>
      </c>
      <c r="BD28" s="82" t="n">
        <f aca="false">I28/(100-BE28)*100</f>
        <v>0</v>
      </c>
      <c r="BE28" s="82" t="n">
        <v>0</v>
      </c>
      <c r="BF28" s="82" t="n">
        <f aca="false">28</f>
        <v>28</v>
      </c>
      <c r="BG28" s="51"/>
      <c r="BH28" s="82" t="n">
        <f aca="false">H28*AO28</f>
        <v>0</v>
      </c>
      <c r="BI28" s="82" t="n">
        <f aca="false">H28*AP28</f>
        <v>0</v>
      </c>
      <c r="BJ28" s="82" t="n">
        <f aca="false">H28*I28</f>
        <v>0</v>
      </c>
      <c r="BK28" s="82"/>
      <c r="BL28" s="82" t="n">
        <v>722</v>
      </c>
    </row>
    <row r="29" customFormat="false" ht="15" hidden="false" customHeight="true" outlineLevel="0" collapsed="false">
      <c r="A29" s="78" t="s">
        <v>156</v>
      </c>
      <c r="B29" s="14" t="s">
        <v>157</v>
      </c>
      <c r="C29" s="14" t="s">
        <v>158</v>
      </c>
      <c r="D29" s="14"/>
      <c r="E29" s="14"/>
      <c r="F29" s="14"/>
      <c r="G29" s="14" t="s">
        <v>124</v>
      </c>
      <c r="H29" s="79" t="n">
        <v>180</v>
      </c>
      <c r="I29" s="80" t="n">
        <v>0</v>
      </c>
      <c r="J29" s="79" t="n">
        <f aca="false">H29*AO29</f>
        <v>0</v>
      </c>
      <c r="K29" s="79" t="n">
        <f aca="false">H29*AP29</f>
        <v>0</v>
      </c>
      <c r="L29" s="79" t="n">
        <f aca="false">H29*I29</f>
        <v>0</v>
      </c>
      <c r="M29" s="81" t="s">
        <v>104</v>
      </c>
      <c r="N29" s="53"/>
      <c r="O29" s="53"/>
      <c r="P29" s="53"/>
      <c r="Q29" s="53"/>
      <c r="R29" s="53"/>
      <c r="S29" s="53"/>
      <c r="T29" s="53"/>
      <c r="U29" s="53"/>
      <c r="V29" s="53"/>
      <c r="W29" s="53"/>
      <c r="X29" s="53"/>
      <c r="Y29" s="51"/>
      <c r="Z29" s="82" t="n">
        <f aca="false">IF(AQ29="5",BJ29,0)</f>
        <v>0</v>
      </c>
      <c r="AA29" s="51"/>
      <c r="AB29" s="82" t="n">
        <f aca="false">IF(AQ29="1",BH29,0)</f>
        <v>0</v>
      </c>
      <c r="AC29" s="82" t="n">
        <f aca="false">IF(AQ29="1",BI29,0)</f>
        <v>0</v>
      </c>
      <c r="AD29" s="82" t="n">
        <f aca="false">IF(AQ29="7",BH29,0)</f>
        <v>0</v>
      </c>
      <c r="AE29" s="82" t="n">
        <f aca="false">IF(AQ29="7",BI29,0)</f>
        <v>0</v>
      </c>
      <c r="AF29" s="82" t="n">
        <f aca="false">IF(AQ29="2",BH29,0)</f>
        <v>0</v>
      </c>
      <c r="AG29" s="82" t="n">
        <f aca="false">IF(AQ29="2",BI29,0)</f>
        <v>0</v>
      </c>
      <c r="AH29" s="82" t="n">
        <f aca="false">IF(AQ29="0",BJ29,0)</f>
        <v>0</v>
      </c>
      <c r="AI29" s="64" t="s">
        <v>99</v>
      </c>
      <c r="AJ29" s="82" t="n">
        <f aca="false">IF(AN29=0,L29,0)</f>
        <v>0</v>
      </c>
      <c r="AK29" s="82" t="n">
        <f aca="false">IF(AN29=15,L29,0)</f>
        <v>0</v>
      </c>
      <c r="AL29" s="82" t="n">
        <f aca="false">IF(AN29=21,L29,0)</f>
        <v>0</v>
      </c>
      <c r="AM29" s="51"/>
      <c r="AN29" s="82" t="n">
        <v>21</v>
      </c>
      <c r="AO29" s="82" t="n">
        <f aca="false">I29*0</f>
        <v>0</v>
      </c>
      <c r="AP29" s="82" t="n">
        <f aca="false">I29*(1-0)</f>
        <v>0</v>
      </c>
      <c r="AQ29" s="83" t="s">
        <v>132</v>
      </c>
      <c r="AR29" s="51"/>
      <c r="AS29" s="51"/>
      <c r="AT29" s="51"/>
      <c r="AU29" s="51"/>
      <c r="AV29" s="82" t="n">
        <f aca="false">AW29+AX29</f>
        <v>0</v>
      </c>
      <c r="AW29" s="82" t="n">
        <f aca="false">H29*AO29</f>
        <v>0</v>
      </c>
      <c r="AX29" s="82" t="n">
        <f aca="false">H29*AP29</f>
        <v>0</v>
      </c>
      <c r="AY29" s="83" t="s">
        <v>140</v>
      </c>
      <c r="AZ29" s="83" t="s">
        <v>141</v>
      </c>
      <c r="BA29" s="64" t="s">
        <v>107</v>
      </c>
      <c r="BB29" s="51"/>
      <c r="BC29" s="82" t="n">
        <f aca="false">AW29+AX29</f>
        <v>0</v>
      </c>
      <c r="BD29" s="82" t="n">
        <f aca="false">I29/(100-BE29)*100</f>
        <v>0</v>
      </c>
      <c r="BE29" s="82" t="n">
        <v>0</v>
      </c>
      <c r="BF29" s="82" t="n">
        <f aca="false">29</f>
        <v>29</v>
      </c>
      <c r="BG29" s="51"/>
      <c r="BH29" s="82" t="n">
        <f aca="false">H29*AO29</f>
        <v>0</v>
      </c>
      <c r="BI29" s="82" t="n">
        <f aca="false">H29*AP29</f>
        <v>0</v>
      </c>
      <c r="BJ29" s="82" t="n">
        <f aca="false">H29*I29</f>
        <v>0</v>
      </c>
      <c r="BK29" s="82"/>
      <c r="BL29" s="82" t="n">
        <v>722</v>
      </c>
    </row>
    <row r="30" customFormat="false" ht="15" hidden="false" customHeight="true" outlineLevel="0" collapsed="false">
      <c r="A30" s="78" t="s">
        <v>159</v>
      </c>
      <c r="B30" s="14" t="s">
        <v>160</v>
      </c>
      <c r="C30" s="14" t="s">
        <v>161</v>
      </c>
      <c r="D30" s="14"/>
      <c r="E30" s="14"/>
      <c r="F30" s="14"/>
      <c r="G30" s="14" t="s">
        <v>124</v>
      </c>
      <c r="H30" s="79" t="n">
        <v>204</v>
      </c>
      <c r="I30" s="80" t="n">
        <v>0</v>
      </c>
      <c r="J30" s="79" t="n">
        <f aca="false">H30*AO30</f>
        <v>0</v>
      </c>
      <c r="K30" s="79" t="n">
        <f aca="false">H30*AP30</f>
        <v>0</v>
      </c>
      <c r="L30" s="79" t="n">
        <f aca="false">H30*I30</f>
        <v>0</v>
      </c>
      <c r="M30" s="81" t="s">
        <v>104</v>
      </c>
      <c r="N30" s="53"/>
      <c r="O30" s="53"/>
      <c r="P30" s="53"/>
      <c r="Q30" s="53"/>
      <c r="R30" s="53"/>
      <c r="S30" s="53"/>
      <c r="T30" s="53"/>
      <c r="U30" s="53"/>
      <c r="V30" s="53"/>
      <c r="W30" s="53"/>
      <c r="X30" s="53"/>
      <c r="Y30" s="51"/>
      <c r="Z30" s="82" t="n">
        <f aca="false">IF(AQ30="5",BJ30,0)</f>
        <v>0</v>
      </c>
      <c r="AA30" s="51"/>
      <c r="AB30" s="82" t="n">
        <f aca="false">IF(AQ30="1",BH30,0)</f>
        <v>0</v>
      </c>
      <c r="AC30" s="82" t="n">
        <f aca="false">IF(AQ30="1",BI30,0)</f>
        <v>0</v>
      </c>
      <c r="AD30" s="82" t="n">
        <f aca="false">IF(AQ30="7",BH30,0)</f>
        <v>0</v>
      </c>
      <c r="AE30" s="82" t="n">
        <f aca="false">IF(AQ30="7",BI30,0)</f>
        <v>0</v>
      </c>
      <c r="AF30" s="82" t="n">
        <f aca="false">IF(AQ30="2",BH30,0)</f>
        <v>0</v>
      </c>
      <c r="AG30" s="82" t="n">
        <f aca="false">IF(AQ30="2",BI30,0)</f>
        <v>0</v>
      </c>
      <c r="AH30" s="82" t="n">
        <f aca="false">IF(AQ30="0",BJ30,0)</f>
        <v>0</v>
      </c>
      <c r="AI30" s="64" t="s">
        <v>99</v>
      </c>
      <c r="AJ30" s="82" t="n">
        <f aca="false">IF(AN30=0,L30,0)</f>
        <v>0</v>
      </c>
      <c r="AK30" s="82" t="n">
        <f aca="false">IF(AN30=15,L30,0)</f>
        <v>0</v>
      </c>
      <c r="AL30" s="82" t="n">
        <f aca="false">IF(AN30=21,L30,0)</f>
        <v>0</v>
      </c>
      <c r="AM30" s="51"/>
      <c r="AN30" s="82" t="n">
        <v>21</v>
      </c>
      <c r="AO30" s="82" t="n">
        <f aca="false">I30*0.835077647058823</f>
        <v>0</v>
      </c>
      <c r="AP30" s="82" t="n">
        <f aca="false">I30*(1-0.835077647058823)</f>
        <v>0</v>
      </c>
      <c r="AQ30" s="83" t="s">
        <v>132</v>
      </c>
      <c r="AR30" s="51"/>
      <c r="AS30" s="51"/>
      <c r="AT30" s="51"/>
      <c r="AU30" s="51"/>
      <c r="AV30" s="82" t="n">
        <f aca="false">AW30+AX30</f>
        <v>0</v>
      </c>
      <c r="AW30" s="82" t="n">
        <f aca="false">H30*AO30</f>
        <v>0</v>
      </c>
      <c r="AX30" s="82" t="n">
        <f aca="false">H30*AP30</f>
        <v>0</v>
      </c>
      <c r="AY30" s="83" t="s">
        <v>140</v>
      </c>
      <c r="AZ30" s="83" t="s">
        <v>141</v>
      </c>
      <c r="BA30" s="64" t="s">
        <v>107</v>
      </c>
      <c r="BB30" s="51"/>
      <c r="BC30" s="82" t="n">
        <f aca="false">AW30+AX30</f>
        <v>0</v>
      </c>
      <c r="BD30" s="82" t="n">
        <f aca="false">I30/(100-BE30)*100</f>
        <v>0</v>
      </c>
      <c r="BE30" s="82" t="n">
        <v>0</v>
      </c>
      <c r="BF30" s="82" t="n">
        <f aca="false">30</f>
        <v>30</v>
      </c>
      <c r="BG30" s="51"/>
      <c r="BH30" s="82" t="n">
        <f aca="false">H30*AO30</f>
        <v>0</v>
      </c>
      <c r="BI30" s="82" t="n">
        <f aca="false">H30*AP30</f>
        <v>0</v>
      </c>
      <c r="BJ30" s="82" t="n">
        <f aca="false">H30*I30</f>
        <v>0</v>
      </c>
      <c r="BK30" s="82"/>
      <c r="BL30" s="82" t="n">
        <v>722</v>
      </c>
    </row>
    <row r="31" customFormat="false" ht="15" hidden="false" customHeight="true" outlineLevel="0" collapsed="false">
      <c r="A31" s="78" t="s">
        <v>162</v>
      </c>
      <c r="B31" s="14" t="s">
        <v>163</v>
      </c>
      <c r="C31" s="14" t="s">
        <v>164</v>
      </c>
      <c r="D31" s="14"/>
      <c r="E31" s="14"/>
      <c r="F31" s="14"/>
      <c r="G31" s="14" t="s">
        <v>124</v>
      </c>
      <c r="H31" s="79" t="n">
        <v>64.5</v>
      </c>
      <c r="I31" s="80" t="n">
        <v>0</v>
      </c>
      <c r="J31" s="79" t="n">
        <f aca="false">H31*AO31</f>
        <v>0</v>
      </c>
      <c r="K31" s="79" t="n">
        <f aca="false">H31*AP31</f>
        <v>0</v>
      </c>
      <c r="L31" s="79" t="n">
        <f aca="false">H31*I31</f>
        <v>0</v>
      </c>
      <c r="M31" s="81" t="s">
        <v>104</v>
      </c>
      <c r="N31" s="53"/>
      <c r="O31" s="53"/>
      <c r="P31" s="53"/>
      <c r="Q31" s="53"/>
      <c r="R31" s="53"/>
      <c r="S31" s="53"/>
      <c r="T31" s="53"/>
      <c r="U31" s="53"/>
      <c r="V31" s="53"/>
      <c r="W31" s="53"/>
      <c r="X31" s="53"/>
      <c r="Y31" s="51"/>
      <c r="Z31" s="82" t="n">
        <f aca="false">IF(AQ31="5",BJ31,0)</f>
        <v>0</v>
      </c>
      <c r="AA31" s="51"/>
      <c r="AB31" s="82" t="n">
        <f aca="false">IF(AQ31="1",BH31,0)</f>
        <v>0</v>
      </c>
      <c r="AC31" s="82" t="n">
        <f aca="false">IF(AQ31="1",BI31,0)</f>
        <v>0</v>
      </c>
      <c r="AD31" s="82" t="n">
        <f aca="false">IF(AQ31="7",BH31,0)</f>
        <v>0</v>
      </c>
      <c r="AE31" s="82" t="n">
        <f aca="false">IF(AQ31="7",BI31,0)</f>
        <v>0</v>
      </c>
      <c r="AF31" s="82" t="n">
        <f aca="false">IF(AQ31="2",BH31,0)</f>
        <v>0</v>
      </c>
      <c r="AG31" s="82" t="n">
        <f aca="false">IF(AQ31="2",BI31,0)</f>
        <v>0</v>
      </c>
      <c r="AH31" s="82" t="n">
        <f aca="false">IF(AQ31="0",BJ31,0)</f>
        <v>0</v>
      </c>
      <c r="AI31" s="64" t="s">
        <v>99</v>
      </c>
      <c r="AJ31" s="82" t="n">
        <f aca="false">IF(AN31=0,L31,0)</f>
        <v>0</v>
      </c>
      <c r="AK31" s="82" t="n">
        <f aca="false">IF(AN31=15,L31,0)</f>
        <v>0</v>
      </c>
      <c r="AL31" s="82" t="n">
        <f aca="false">IF(AN31=21,L31,0)</f>
        <v>0</v>
      </c>
      <c r="AM31" s="51"/>
      <c r="AN31" s="82" t="n">
        <v>21</v>
      </c>
      <c r="AO31" s="82" t="n">
        <f aca="false">I31*0.771273486430063</f>
        <v>0</v>
      </c>
      <c r="AP31" s="82" t="n">
        <f aca="false">I31*(1-0.771273486430063)</f>
        <v>0</v>
      </c>
      <c r="AQ31" s="83" t="s">
        <v>132</v>
      </c>
      <c r="AR31" s="51"/>
      <c r="AS31" s="51"/>
      <c r="AT31" s="51"/>
      <c r="AU31" s="51"/>
      <c r="AV31" s="82" t="n">
        <f aca="false">AW31+AX31</f>
        <v>0</v>
      </c>
      <c r="AW31" s="82" t="n">
        <f aca="false">H31*AO31</f>
        <v>0</v>
      </c>
      <c r="AX31" s="82" t="n">
        <f aca="false">H31*AP31</f>
        <v>0</v>
      </c>
      <c r="AY31" s="83" t="s">
        <v>140</v>
      </c>
      <c r="AZ31" s="83" t="s">
        <v>141</v>
      </c>
      <c r="BA31" s="64" t="s">
        <v>107</v>
      </c>
      <c r="BB31" s="51"/>
      <c r="BC31" s="82" t="n">
        <f aca="false">AW31+AX31</f>
        <v>0</v>
      </c>
      <c r="BD31" s="82" t="n">
        <f aca="false">I31/(100-BE31)*100</f>
        <v>0</v>
      </c>
      <c r="BE31" s="82" t="n">
        <v>0</v>
      </c>
      <c r="BF31" s="82" t="n">
        <f aca="false">31</f>
        <v>31</v>
      </c>
      <c r="BG31" s="51"/>
      <c r="BH31" s="82" t="n">
        <f aca="false">H31*AO31</f>
        <v>0</v>
      </c>
      <c r="BI31" s="82" t="n">
        <f aca="false">H31*AP31</f>
        <v>0</v>
      </c>
      <c r="BJ31" s="82" t="n">
        <f aca="false">H31*I31</f>
        <v>0</v>
      </c>
      <c r="BK31" s="82"/>
      <c r="BL31" s="82" t="n">
        <v>722</v>
      </c>
    </row>
    <row r="32" customFormat="false" ht="15" hidden="false" customHeight="true" outlineLevel="0" collapsed="false">
      <c r="A32" s="78" t="s">
        <v>165</v>
      </c>
      <c r="B32" s="14" t="s">
        <v>166</v>
      </c>
      <c r="C32" s="14" t="s">
        <v>167</v>
      </c>
      <c r="D32" s="14"/>
      <c r="E32" s="14"/>
      <c r="F32" s="14"/>
      <c r="G32" s="14" t="s">
        <v>124</v>
      </c>
      <c r="H32" s="79" t="n">
        <v>107.8</v>
      </c>
      <c r="I32" s="80" t="n">
        <v>0</v>
      </c>
      <c r="J32" s="79" t="n">
        <f aca="false">H32*AO32</f>
        <v>0</v>
      </c>
      <c r="K32" s="79" t="n">
        <f aca="false">H32*AP32</f>
        <v>0</v>
      </c>
      <c r="L32" s="79" t="n">
        <f aca="false">H32*I32</f>
        <v>0</v>
      </c>
      <c r="M32" s="81" t="s">
        <v>104</v>
      </c>
      <c r="N32" s="53"/>
      <c r="O32" s="53"/>
      <c r="P32" s="53"/>
      <c r="Q32" s="53"/>
      <c r="R32" s="53"/>
      <c r="S32" s="53"/>
      <c r="T32" s="53"/>
      <c r="U32" s="53"/>
      <c r="V32" s="53"/>
      <c r="W32" s="53"/>
      <c r="X32" s="53"/>
      <c r="Y32" s="51"/>
      <c r="Z32" s="82" t="n">
        <f aca="false">IF(AQ32="5",BJ32,0)</f>
        <v>0</v>
      </c>
      <c r="AA32" s="51"/>
      <c r="AB32" s="82" t="n">
        <f aca="false">IF(AQ32="1",BH32,0)</f>
        <v>0</v>
      </c>
      <c r="AC32" s="82" t="n">
        <f aca="false">IF(AQ32="1",BI32,0)</f>
        <v>0</v>
      </c>
      <c r="AD32" s="82" t="n">
        <f aca="false">IF(AQ32="7",BH32,0)</f>
        <v>0</v>
      </c>
      <c r="AE32" s="82" t="n">
        <f aca="false">IF(AQ32="7",BI32,0)</f>
        <v>0</v>
      </c>
      <c r="AF32" s="82" t="n">
        <f aca="false">IF(AQ32="2",BH32,0)</f>
        <v>0</v>
      </c>
      <c r="AG32" s="82" t="n">
        <f aca="false">IF(AQ32="2",BI32,0)</f>
        <v>0</v>
      </c>
      <c r="AH32" s="82" t="n">
        <f aca="false">IF(AQ32="0",BJ32,0)</f>
        <v>0</v>
      </c>
      <c r="AI32" s="64" t="s">
        <v>99</v>
      </c>
      <c r="AJ32" s="82" t="n">
        <f aca="false">IF(AN32=0,L32,0)</f>
        <v>0</v>
      </c>
      <c r="AK32" s="82" t="n">
        <f aca="false">IF(AN32=15,L32,0)</f>
        <v>0</v>
      </c>
      <c r="AL32" s="82" t="n">
        <f aca="false">IF(AN32=21,L32,0)</f>
        <v>0</v>
      </c>
      <c r="AM32" s="51"/>
      <c r="AN32" s="82" t="n">
        <v>21</v>
      </c>
      <c r="AO32" s="82" t="n">
        <f aca="false">I32*0.72188622754491</f>
        <v>0</v>
      </c>
      <c r="AP32" s="82" t="n">
        <f aca="false">I32*(1-0.72188622754491)</f>
        <v>0</v>
      </c>
      <c r="AQ32" s="83" t="s">
        <v>132</v>
      </c>
      <c r="AR32" s="51"/>
      <c r="AS32" s="51"/>
      <c r="AT32" s="51"/>
      <c r="AU32" s="51"/>
      <c r="AV32" s="82" t="n">
        <f aca="false">AW32+AX32</f>
        <v>0</v>
      </c>
      <c r="AW32" s="82" t="n">
        <f aca="false">H32*AO32</f>
        <v>0</v>
      </c>
      <c r="AX32" s="82" t="n">
        <f aca="false">H32*AP32</f>
        <v>0</v>
      </c>
      <c r="AY32" s="83" t="s">
        <v>140</v>
      </c>
      <c r="AZ32" s="83" t="s">
        <v>141</v>
      </c>
      <c r="BA32" s="64" t="s">
        <v>107</v>
      </c>
      <c r="BB32" s="51"/>
      <c r="BC32" s="82" t="n">
        <f aca="false">AW32+AX32</f>
        <v>0</v>
      </c>
      <c r="BD32" s="82" t="n">
        <f aca="false">I32/(100-BE32)*100</f>
        <v>0</v>
      </c>
      <c r="BE32" s="82" t="n">
        <v>0</v>
      </c>
      <c r="BF32" s="82" t="n">
        <f aca="false">32</f>
        <v>32</v>
      </c>
      <c r="BG32" s="51"/>
      <c r="BH32" s="82" t="n">
        <f aca="false">H32*AO32</f>
        <v>0</v>
      </c>
      <c r="BI32" s="82" t="n">
        <f aca="false">H32*AP32</f>
        <v>0</v>
      </c>
      <c r="BJ32" s="82" t="n">
        <f aca="false">H32*I32</f>
        <v>0</v>
      </c>
      <c r="BK32" s="82"/>
      <c r="BL32" s="82" t="n">
        <v>722</v>
      </c>
    </row>
    <row r="33" customFormat="false" ht="15" hidden="false" customHeight="true" outlineLevel="0" collapsed="false">
      <c r="A33" s="78" t="s">
        <v>168</v>
      </c>
      <c r="B33" s="14" t="s">
        <v>169</v>
      </c>
      <c r="C33" s="14" t="s">
        <v>170</v>
      </c>
      <c r="D33" s="14"/>
      <c r="E33" s="14"/>
      <c r="F33" s="14"/>
      <c r="G33" s="14" t="s">
        <v>124</v>
      </c>
      <c r="H33" s="79" t="n">
        <v>60.7</v>
      </c>
      <c r="I33" s="80" t="n">
        <v>0</v>
      </c>
      <c r="J33" s="79" t="n">
        <f aca="false">H33*AO33</f>
        <v>0</v>
      </c>
      <c r="K33" s="79" t="n">
        <f aca="false">H33*AP33</f>
        <v>0</v>
      </c>
      <c r="L33" s="79" t="n">
        <f aca="false">H33*I33</f>
        <v>0</v>
      </c>
      <c r="M33" s="81" t="s">
        <v>104</v>
      </c>
      <c r="N33" s="53"/>
      <c r="O33" s="53"/>
      <c r="P33" s="53"/>
      <c r="Q33" s="53"/>
      <c r="R33" s="53"/>
      <c r="S33" s="53"/>
      <c r="T33" s="53"/>
      <c r="U33" s="53"/>
      <c r="V33" s="53"/>
      <c r="W33" s="53"/>
      <c r="X33" s="53"/>
      <c r="Y33" s="51"/>
      <c r="Z33" s="82" t="n">
        <f aca="false">IF(AQ33="5",BJ33,0)</f>
        <v>0</v>
      </c>
      <c r="AA33" s="51"/>
      <c r="AB33" s="82" t="n">
        <f aca="false">IF(AQ33="1",BH33,0)</f>
        <v>0</v>
      </c>
      <c r="AC33" s="82" t="n">
        <f aca="false">IF(AQ33="1",BI33,0)</f>
        <v>0</v>
      </c>
      <c r="AD33" s="82" t="n">
        <f aca="false">IF(AQ33="7",BH33,0)</f>
        <v>0</v>
      </c>
      <c r="AE33" s="82" t="n">
        <f aca="false">IF(AQ33="7",BI33,0)</f>
        <v>0</v>
      </c>
      <c r="AF33" s="82" t="n">
        <f aca="false">IF(AQ33="2",BH33,0)</f>
        <v>0</v>
      </c>
      <c r="AG33" s="82" t="n">
        <f aca="false">IF(AQ33="2",BI33,0)</f>
        <v>0</v>
      </c>
      <c r="AH33" s="82" t="n">
        <f aca="false">IF(AQ33="0",BJ33,0)</f>
        <v>0</v>
      </c>
      <c r="AI33" s="64" t="s">
        <v>99</v>
      </c>
      <c r="AJ33" s="82" t="n">
        <f aca="false">IF(AN33=0,L33,0)</f>
        <v>0</v>
      </c>
      <c r="AK33" s="82" t="n">
        <f aca="false">IF(AN33=15,L33,0)</f>
        <v>0</v>
      </c>
      <c r="AL33" s="82" t="n">
        <f aca="false">IF(AN33=21,L33,0)</f>
        <v>0</v>
      </c>
      <c r="AM33" s="51"/>
      <c r="AN33" s="82" t="n">
        <v>21</v>
      </c>
      <c r="AO33" s="82" t="n">
        <f aca="false">I33*0.725562347188264</f>
        <v>0</v>
      </c>
      <c r="AP33" s="82" t="n">
        <f aca="false">I33*(1-0.725562347188264)</f>
        <v>0</v>
      </c>
      <c r="AQ33" s="83" t="s">
        <v>132</v>
      </c>
      <c r="AR33" s="51"/>
      <c r="AS33" s="51"/>
      <c r="AT33" s="51"/>
      <c r="AU33" s="51"/>
      <c r="AV33" s="82" t="n">
        <f aca="false">AW33+AX33</f>
        <v>0</v>
      </c>
      <c r="AW33" s="82" t="n">
        <f aca="false">H33*AO33</f>
        <v>0</v>
      </c>
      <c r="AX33" s="82" t="n">
        <f aca="false">H33*AP33</f>
        <v>0</v>
      </c>
      <c r="AY33" s="83" t="s">
        <v>140</v>
      </c>
      <c r="AZ33" s="83" t="s">
        <v>141</v>
      </c>
      <c r="BA33" s="64" t="s">
        <v>107</v>
      </c>
      <c r="BB33" s="51"/>
      <c r="BC33" s="82" t="n">
        <f aca="false">AW33+AX33</f>
        <v>0</v>
      </c>
      <c r="BD33" s="82" t="n">
        <f aca="false">I33/(100-BE33)*100</f>
        <v>0</v>
      </c>
      <c r="BE33" s="82" t="n">
        <v>0</v>
      </c>
      <c r="BF33" s="82" t="n">
        <f aca="false">33</f>
        <v>33</v>
      </c>
      <c r="BG33" s="51"/>
      <c r="BH33" s="82" t="n">
        <f aca="false">H33*AO33</f>
        <v>0</v>
      </c>
      <c r="BI33" s="82" t="n">
        <f aca="false">H33*AP33</f>
        <v>0</v>
      </c>
      <c r="BJ33" s="82" t="n">
        <f aca="false">H33*I33</f>
        <v>0</v>
      </c>
      <c r="BK33" s="82"/>
      <c r="BL33" s="82" t="n">
        <v>722</v>
      </c>
    </row>
    <row r="34" customFormat="false" ht="15" hidden="false" customHeight="true" outlineLevel="0" collapsed="false">
      <c r="A34" s="78" t="s">
        <v>171</v>
      </c>
      <c r="B34" s="14" t="s">
        <v>172</v>
      </c>
      <c r="C34" s="14" t="s">
        <v>173</v>
      </c>
      <c r="D34" s="14"/>
      <c r="E34" s="14"/>
      <c r="F34" s="14"/>
      <c r="G34" s="14" t="s">
        <v>124</v>
      </c>
      <c r="H34" s="79" t="n">
        <v>354.6</v>
      </c>
      <c r="I34" s="80" t="n">
        <v>0</v>
      </c>
      <c r="J34" s="79" t="n">
        <f aca="false">H34*AO34</f>
        <v>0</v>
      </c>
      <c r="K34" s="79" t="n">
        <f aca="false">H34*AP34</f>
        <v>0</v>
      </c>
      <c r="L34" s="79" t="n">
        <f aca="false">H34*I34</f>
        <v>0</v>
      </c>
      <c r="M34" s="81" t="s">
        <v>104</v>
      </c>
      <c r="N34" s="53"/>
      <c r="O34" s="53"/>
      <c r="P34" s="53"/>
      <c r="Q34" s="53"/>
      <c r="R34" s="53"/>
      <c r="S34" s="53"/>
      <c r="T34" s="53"/>
      <c r="U34" s="53"/>
      <c r="V34" s="53"/>
      <c r="W34" s="53"/>
      <c r="X34" s="53"/>
      <c r="Y34" s="51"/>
      <c r="Z34" s="82" t="n">
        <f aca="false">IF(AQ34="5",BJ34,0)</f>
        <v>0</v>
      </c>
      <c r="AA34" s="51"/>
      <c r="AB34" s="82" t="n">
        <f aca="false">IF(AQ34="1",BH34,0)</f>
        <v>0</v>
      </c>
      <c r="AC34" s="82" t="n">
        <f aca="false">IF(AQ34="1",BI34,0)</f>
        <v>0</v>
      </c>
      <c r="AD34" s="82" t="n">
        <f aca="false">IF(AQ34="7",BH34,0)</f>
        <v>0</v>
      </c>
      <c r="AE34" s="82" t="n">
        <f aca="false">IF(AQ34="7",BI34,0)</f>
        <v>0</v>
      </c>
      <c r="AF34" s="82" t="n">
        <f aca="false">IF(AQ34="2",BH34,0)</f>
        <v>0</v>
      </c>
      <c r="AG34" s="82" t="n">
        <f aca="false">IF(AQ34="2",BI34,0)</f>
        <v>0</v>
      </c>
      <c r="AH34" s="82" t="n">
        <f aca="false">IF(AQ34="0",BJ34,0)</f>
        <v>0</v>
      </c>
      <c r="AI34" s="64" t="s">
        <v>99</v>
      </c>
      <c r="AJ34" s="82" t="n">
        <f aca="false">IF(AN34=0,L34,0)</f>
        <v>0</v>
      </c>
      <c r="AK34" s="82" t="n">
        <f aca="false">IF(AN34=15,L34,0)</f>
        <v>0</v>
      </c>
      <c r="AL34" s="82" t="n">
        <f aca="false">IF(AN34=21,L34,0)</f>
        <v>0</v>
      </c>
      <c r="AM34" s="51"/>
      <c r="AN34" s="82" t="n">
        <v>21</v>
      </c>
      <c r="AO34" s="82" t="n">
        <f aca="false">I34*0.643511029411765</f>
        <v>0</v>
      </c>
      <c r="AP34" s="82" t="n">
        <f aca="false">I34*(1-0.643511029411765)</f>
        <v>0</v>
      </c>
      <c r="AQ34" s="83" t="s">
        <v>132</v>
      </c>
      <c r="AR34" s="51"/>
      <c r="AS34" s="51"/>
      <c r="AT34" s="51"/>
      <c r="AU34" s="51"/>
      <c r="AV34" s="82" t="n">
        <f aca="false">AW34+AX34</f>
        <v>0</v>
      </c>
      <c r="AW34" s="82" t="n">
        <f aca="false">H34*AO34</f>
        <v>0</v>
      </c>
      <c r="AX34" s="82" t="n">
        <f aca="false">H34*AP34</f>
        <v>0</v>
      </c>
      <c r="AY34" s="83" t="s">
        <v>140</v>
      </c>
      <c r="AZ34" s="83" t="s">
        <v>141</v>
      </c>
      <c r="BA34" s="64" t="s">
        <v>107</v>
      </c>
      <c r="BB34" s="51"/>
      <c r="BC34" s="82" t="n">
        <f aca="false">AW34+AX34</f>
        <v>0</v>
      </c>
      <c r="BD34" s="82" t="n">
        <f aca="false">I34/(100-BE34)*100</f>
        <v>0</v>
      </c>
      <c r="BE34" s="82" t="n">
        <v>0</v>
      </c>
      <c r="BF34" s="82" t="n">
        <f aca="false">34</f>
        <v>34</v>
      </c>
      <c r="BG34" s="51"/>
      <c r="BH34" s="82" t="n">
        <f aca="false">H34*AO34</f>
        <v>0</v>
      </c>
      <c r="BI34" s="82" t="n">
        <f aca="false">H34*AP34</f>
        <v>0</v>
      </c>
      <c r="BJ34" s="82" t="n">
        <f aca="false">H34*I34</f>
        <v>0</v>
      </c>
      <c r="BK34" s="82"/>
      <c r="BL34" s="82" t="n">
        <v>722</v>
      </c>
    </row>
    <row r="35" customFormat="false" ht="15" hidden="false" customHeight="true" outlineLevel="0" collapsed="false">
      <c r="A35" s="78" t="s">
        <v>174</v>
      </c>
      <c r="B35" s="14" t="s">
        <v>175</v>
      </c>
      <c r="C35" s="14" t="s">
        <v>176</v>
      </c>
      <c r="D35" s="14"/>
      <c r="E35" s="14"/>
      <c r="F35" s="14"/>
      <c r="G35" s="14" t="s">
        <v>124</v>
      </c>
      <c r="H35" s="79" t="n">
        <v>210.6</v>
      </c>
      <c r="I35" s="80" t="n">
        <v>0</v>
      </c>
      <c r="J35" s="79" t="n">
        <f aca="false">H35*AO35</f>
        <v>0</v>
      </c>
      <c r="K35" s="79" t="n">
        <f aca="false">H35*AP35</f>
        <v>0</v>
      </c>
      <c r="L35" s="79" t="n">
        <f aca="false">H35*I35</f>
        <v>0</v>
      </c>
      <c r="M35" s="81" t="s">
        <v>104</v>
      </c>
      <c r="N35" s="53"/>
      <c r="O35" s="53"/>
      <c r="P35" s="53"/>
      <c r="Q35" s="53"/>
      <c r="R35" s="53"/>
      <c r="S35" s="53"/>
      <c r="T35" s="53"/>
      <c r="U35" s="53"/>
      <c r="V35" s="53"/>
      <c r="W35" s="53"/>
      <c r="X35" s="53"/>
      <c r="Y35" s="51"/>
      <c r="Z35" s="82" t="n">
        <f aca="false">IF(AQ35="5",BJ35,0)</f>
        <v>0</v>
      </c>
      <c r="AA35" s="51"/>
      <c r="AB35" s="82" t="n">
        <f aca="false">IF(AQ35="1",BH35,0)</f>
        <v>0</v>
      </c>
      <c r="AC35" s="82" t="n">
        <f aca="false">IF(AQ35="1",BI35,0)</f>
        <v>0</v>
      </c>
      <c r="AD35" s="82" t="n">
        <f aca="false">IF(AQ35="7",BH35,0)</f>
        <v>0</v>
      </c>
      <c r="AE35" s="82" t="n">
        <f aca="false">IF(AQ35="7",BI35,0)</f>
        <v>0</v>
      </c>
      <c r="AF35" s="82" t="n">
        <f aca="false">IF(AQ35="2",BH35,0)</f>
        <v>0</v>
      </c>
      <c r="AG35" s="82" t="n">
        <f aca="false">IF(AQ35="2",BI35,0)</f>
        <v>0</v>
      </c>
      <c r="AH35" s="82" t="n">
        <f aca="false">IF(AQ35="0",BJ35,0)</f>
        <v>0</v>
      </c>
      <c r="AI35" s="64" t="s">
        <v>99</v>
      </c>
      <c r="AJ35" s="82" t="n">
        <f aca="false">IF(AN35=0,L35,0)</f>
        <v>0</v>
      </c>
      <c r="AK35" s="82" t="n">
        <f aca="false">IF(AN35=15,L35,0)</f>
        <v>0</v>
      </c>
      <c r="AL35" s="82" t="n">
        <f aca="false">IF(AN35=21,L35,0)</f>
        <v>0</v>
      </c>
      <c r="AM35" s="51"/>
      <c r="AN35" s="82" t="n">
        <v>21</v>
      </c>
      <c r="AO35" s="82" t="n">
        <f aca="false">I35*0.566508728179551</f>
        <v>0</v>
      </c>
      <c r="AP35" s="82" t="n">
        <f aca="false">I35*(1-0.566508728179551)</f>
        <v>0</v>
      </c>
      <c r="AQ35" s="83" t="s">
        <v>132</v>
      </c>
      <c r="AR35" s="51"/>
      <c r="AS35" s="51"/>
      <c r="AT35" s="51"/>
      <c r="AU35" s="51"/>
      <c r="AV35" s="82" t="n">
        <f aca="false">AW35+AX35</f>
        <v>0</v>
      </c>
      <c r="AW35" s="82" t="n">
        <f aca="false">H35*AO35</f>
        <v>0</v>
      </c>
      <c r="AX35" s="82" t="n">
        <f aca="false">H35*AP35</f>
        <v>0</v>
      </c>
      <c r="AY35" s="83" t="s">
        <v>140</v>
      </c>
      <c r="AZ35" s="83" t="s">
        <v>141</v>
      </c>
      <c r="BA35" s="64" t="s">
        <v>107</v>
      </c>
      <c r="BB35" s="51"/>
      <c r="BC35" s="82" t="n">
        <f aca="false">AW35+AX35</f>
        <v>0</v>
      </c>
      <c r="BD35" s="82" t="n">
        <f aca="false">I35/(100-BE35)*100</f>
        <v>0</v>
      </c>
      <c r="BE35" s="82" t="n">
        <v>0</v>
      </c>
      <c r="BF35" s="82" t="n">
        <f aca="false">35</f>
        <v>35</v>
      </c>
      <c r="BG35" s="51"/>
      <c r="BH35" s="82" t="n">
        <f aca="false">H35*AO35</f>
        <v>0</v>
      </c>
      <c r="BI35" s="82" t="n">
        <f aca="false">H35*AP35</f>
        <v>0</v>
      </c>
      <c r="BJ35" s="82" t="n">
        <f aca="false">H35*I35</f>
        <v>0</v>
      </c>
      <c r="BK35" s="82"/>
      <c r="BL35" s="82" t="n">
        <v>722</v>
      </c>
    </row>
    <row r="36" customFormat="false" ht="15" hidden="false" customHeight="true" outlineLevel="0" collapsed="false">
      <c r="A36" s="78" t="s">
        <v>177</v>
      </c>
      <c r="B36" s="14" t="s">
        <v>178</v>
      </c>
      <c r="C36" s="14" t="s">
        <v>179</v>
      </c>
      <c r="D36" s="14"/>
      <c r="E36" s="14"/>
      <c r="F36" s="14"/>
      <c r="G36" s="14" t="s">
        <v>124</v>
      </c>
      <c r="H36" s="79" t="n">
        <v>104</v>
      </c>
      <c r="I36" s="80" t="n">
        <v>0</v>
      </c>
      <c r="J36" s="79" t="n">
        <f aca="false">H36*AO36</f>
        <v>0</v>
      </c>
      <c r="K36" s="79" t="n">
        <f aca="false">H36*AP36</f>
        <v>0</v>
      </c>
      <c r="L36" s="79" t="n">
        <f aca="false">H36*I36</f>
        <v>0</v>
      </c>
      <c r="M36" s="81" t="s">
        <v>104</v>
      </c>
      <c r="N36" s="53"/>
      <c r="O36" s="53"/>
      <c r="P36" s="53"/>
      <c r="Q36" s="53"/>
      <c r="R36" s="53"/>
      <c r="S36" s="53"/>
      <c r="T36" s="53"/>
      <c r="U36" s="53"/>
      <c r="V36" s="53"/>
      <c r="W36" s="53"/>
      <c r="X36" s="53"/>
      <c r="Y36" s="51"/>
      <c r="Z36" s="82" t="n">
        <f aca="false">IF(AQ36="5",BJ36,0)</f>
        <v>0</v>
      </c>
      <c r="AA36" s="51"/>
      <c r="AB36" s="82" t="n">
        <f aca="false">IF(AQ36="1",BH36,0)</f>
        <v>0</v>
      </c>
      <c r="AC36" s="82" t="n">
        <f aca="false">IF(AQ36="1",BI36,0)</f>
        <v>0</v>
      </c>
      <c r="AD36" s="82" t="n">
        <f aca="false">IF(AQ36="7",BH36,0)</f>
        <v>0</v>
      </c>
      <c r="AE36" s="82" t="n">
        <f aca="false">IF(AQ36="7",BI36,0)</f>
        <v>0</v>
      </c>
      <c r="AF36" s="82" t="n">
        <f aca="false">IF(AQ36="2",BH36,0)</f>
        <v>0</v>
      </c>
      <c r="AG36" s="82" t="n">
        <f aca="false">IF(AQ36="2",BI36,0)</f>
        <v>0</v>
      </c>
      <c r="AH36" s="82" t="n">
        <f aca="false">IF(AQ36="0",BJ36,0)</f>
        <v>0</v>
      </c>
      <c r="AI36" s="64" t="s">
        <v>99</v>
      </c>
      <c r="AJ36" s="82" t="n">
        <f aca="false">IF(AN36=0,L36,0)</f>
        <v>0</v>
      </c>
      <c r="AK36" s="82" t="n">
        <f aca="false">IF(AN36=15,L36,0)</f>
        <v>0</v>
      </c>
      <c r="AL36" s="82" t="n">
        <f aca="false">IF(AN36=21,L36,0)</f>
        <v>0</v>
      </c>
      <c r="AM36" s="51"/>
      <c r="AN36" s="82" t="n">
        <v>21</v>
      </c>
      <c r="AO36" s="82" t="n">
        <f aca="false">I36*0.503149606299213</f>
        <v>0</v>
      </c>
      <c r="AP36" s="82" t="n">
        <f aca="false">I36*(1-0.503149606299213)</f>
        <v>0</v>
      </c>
      <c r="AQ36" s="83" t="s">
        <v>132</v>
      </c>
      <c r="AR36" s="51"/>
      <c r="AS36" s="51"/>
      <c r="AT36" s="51"/>
      <c r="AU36" s="51"/>
      <c r="AV36" s="82" t="n">
        <f aca="false">AW36+AX36</f>
        <v>0</v>
      </c>
      <c r="AW36" s="82" t="n">
        <f aca="false">H36*AO36</f>
        <v>0</v>
      </c>
      <c r="AX36" s="82" t="n">
        <f aca="false">H36*AP36</f>
        <v>0</v>
      </c>
      <c r="AY36" s="83" t="s">
        <v>140</v>
      </c>
      <c r="AZ36" s="83" t="s">
        <v>141</v>
      </c>
      <c r="BA36" s="64" t="s">
        <v>107</v>
      </c>
      <c r="BB36" s="51"/>
      <c r="BC36" s="82" t="n">
        <f aca="false">AW36+AX36</f>
        <v>0</v>
      </c>
      <c r="BD36" s="82" t="n">
        <f aca="false">I36/(100-BE36)*100</f>
        <v>0</v>
      </c>
      <c r="BE36" s="82" t="n">
        <v>0</v>
      </c>
      <c r="BF36" s="82" t="n">
        <f aca="false">36</f>
        <v>36</v>
      </c>
      <c r="BG36" s="51"/>
      <c r="BH36" s="82" t="n">
        <f aca="false">H36*AO36</f>
        <v>0</v>
      </c>
      <c r="BI36" s="82" t="n">
        <f aca="false">H36*AP36</f>
        <v>0</v>
      </c>
      <c r="BJ36" s="82" t="n">
        <f aca="false">H36*I36</f>
        <v>0</v>
      </c>
      <c r="BK36" s="82"/>
      <c r="BL36" s="82" t="n">
        <v>722</v>
      </c>
    </row>
    <row r="37" customFormat="false" ht="15" hidden="false" customHeight="true" outlineLevel="0" collapsed="false">
      <c r="A37" s="78" t="s">
        <v>180</v>
      </c>
      <c r="B37" s="14" t="s">
        <v>181</v>
      </c>
      <c r="C37" s="14" t="s">
        <v>182</v>
      </c>
      <c r="D37" s="14"/>
      <c r="E37" s="14"/>
      <c r="F37" s="14"/>
      <c r="G37" s="14" t="s">
        <v>124</v>
      </c>
      <c r="H37" s="79" t="n">
        <v>204</v>
      </c>
      <c r="I37" s="80" t="n">
        <v>0</v>
      </c>
      <c r="J37" s="79" t="n">
        <f aca="false">H37*AO37</f>
        <v>0</v>
      </c>
      <c r="K37" s="79" t="n">
        <f aca="false">H37*AP37</f>
        <v>0</v>
      </c>
      <c r="L37" s="79" t="n">
        <f aca="false">H37*I37</f>
        <v>0</v>
      </c>
      <c r="M37" s="81" t="s">
        <v>104</v>
      </c>
      <c r="N37" s="53"/>
      <c r="O37" s="53"/>
      <c r="P37" s="53"/>
      <c r="Q37" s="53"/>
      <c r="R37" s="53"/>
      <c r="S37" s="53"/>
      <c r="T37" s="53"/>
      <c r="U37" s="53"/>
      <c r="V37" s="53"/>
      <c r="W37" s="53"/>
      <c r="X37" s="53"/>
      <c r="Y37" s="51"/>
      <c r="Z37" s="82" t="n">
        <f aca="false">IF(AQ37="5",BJ37,0)</f>
        <v>0</v>
      </c>
      <c r="AA37" s="51"/>
      <c r="AB37" s="82" t="n">
        <f aca="false">IF(AQ37="1",BH37,0)</f>
        <v>0</v>
      </c>
      <c r="AC37" s="82" t="n">
        <f aca="false">IF(AQ37="1",BI37,0)</f>
        <v>0</v>
      </c>
      <c r="AD37" s="82" t="n">
        <f aca="false">IF(AQ37="7",BH37,0)</f>
        <v>0</v>
      </c>
      <c r="AE37" s="82" t="n">
        <f aca="false">IF(AQ37="7",BI37,0)</f>
        <v>0</v>
      </c>
      <c r="AF37" s="82" t="n">
        <f aca="false">IF(AQ37="2",BH37,0)</f>
        <v>0</v>
      </c>
      <c r="AG37" s="82" t="n">
        <f aca="false">IF(AQ37="2",BI37,0)</f>
        <v>0</v>
      </c>
      <c r="AH37" s="82" t="n">
        <f aca="false">IF(AQ37="0",BJ37,0)</f>
        <v>0</v>
      </c>
      <c r="AI37" s="64" t="s">
        <v>99</v>
      </c>
      <c r="AJ37" s="82" t="n">
        <f aca="false">IF(AN37=0,L37,0)</f>
        <v>0</v>
      </c>
      <c r="AK37" s="82" t="n">
        <f aca="false">IF(AN37=15,L37,0)</f>
        <v>0</v>
      </c>
      <c r="AL37" s="82" t="n">
        <f aca="false">IF(AN37=21,L37,0)</f>
        <v>0</v>
      </c>
      <c r="AM37" s="51"/>
      <c r="AN37" s="82" t="n">
        <v>21</v>
      </c>
      <c r="AO37" s="82" t="n">
        <f aca="false">I37*0.0702857142857143</f>
        <v>0</v>
      </c>
      <c r="AP37" s="82" t="n">
        <f aca="false">I37*(1-0.0702857142857143)</f>
        <v>0</v>
      </c>
      <c r="AQ37" s="83" t="s">
        <v>132</v>
      </c>
      <c r="AR37" s="51"/>
      <c r="AS37" s="51"/>
      <c r="AT37" s="51"/>
      <c r="AU37" s="51"/>
      <c r="AV37" s="82" t="n">
        <f aca="false">AW37+AX37</f>
        <v>0</v>
      </c>
      <c r="AW37" s="82" t="n">
        <f aca="false">H37*AO37</f>
        <v>0</v>
      </c>
      <c r="AX37" s="82" t="n">
        <f aca="false">H37*AP37</f>
        <v>0</v>
      </c>
      <c r="AY37" s="83" t="s">
        <v>140</v>
      </c>
      <c r="AZ37" s="83" t="s">
        <v>141</v>
      </c>
      <c r="BA37" s="64" t="s">
        <v>107</v>
      </c>
      <c r="BB37" s="51"/>
      <c r="BC37" s="82" t="n">
        <f aca="false">AW37+AX37</f>
        <v>0</v>
      </c>
      <c r="BD37" s="82" t="n">
        <f aca="false">I37/(100-BE37)*100</f>
        <v>0</v>
      </c>
      <c r="BE37" s="82" t="n">
        <v>0</v>
      </c>
      <c r="BF37" s="82" t="n">
        <f aca="false">37</f>
        <v>37</v>
      </c>
      <c r="BG37" s="51"/>
      <c r="BH37" s="82" t="n">
        <f aca="false">H37*AO37</f>
        <v>0</v>
      </c>
      <c r="BI37" s="82" t="n">
        <f aca="false">H37*AP37</f>
        <v>0</v>
      </c>
      <c r="BJ37" s="82" t="n">
        <f aca="false">H37*I37</f>
        <v>0</v>
      </c>
      <c r="BK37" s="82"/>
      <c r="BL37" s="82" t="n">
        <v>722</v>
      </c>
    </row>
    <row r="38" customFormat="false" ht="15" hidden="false" customHeight="true" outlineLevel="0" collapsed="false">
      <c r="A38" s="78" t="s">
        <v>183</v>
      </c>
      <c r="B38" s="14" t="s">
        <v>184</v>
      </c>
      <c r="C38" s="14" t="s">
        <v>185</v>
      </c>
      <c r="D38" s="14"/>
      <c r="E38" s="14"/>
      <c r="F38" s="14"/>
      <c r="G38" s="14" t="s">
        <v>124</v>
      </c>
      <c r="H38" s="79" t="n">
        <v>64.5</v>
      </c>
      <c r="I38" s="80" t="n">
        <v>0</v>
      </c>
      <c r="J38" s="79" t="n">
        <f aca="false">H38*AO38</f>
        <v>0</v>
      </c>
      <c r="K38" s="79" t="n">
        <f aca="false">H38*AP38</f>
        <v>0</v>
      </c>
      <c r="L38" s="79" t="n">
        <f aca="false">H38*I38</f>
        <v>0</v>
      </c>
      <c r="M38" s="81" t="s">
        <v>104</v>
      </c>
      <c r="N38" s="53"/>
      <c r="O38" s="53"/>
      <c r="P38" s="53"/>
      <c r="Q38" s="53"/>
      <c r="R38" s="53"/>
      <c r="S38" s="53"/>
      <c r="T38" s="53"/>
      <c r="U38" s="53"/>
      <c r="V38" s="53"/>
      <c r="W38" s="53"/>
      <c r="X38" s="53"/>
      <c r="Y38" s="51"/>
      <c r="Z38" s="82" t="n">
        <f aca="false">IF(AQ38="5",BJ38,0)</f>
        <v>0</v>
      </c>
      <c r="AA38" s="51"/>
      <c r="AB38" s="82" t="n">
        <f aca="false">IF(AQ38="1",BH38,0)</f>
        <v>0</v>
      </c>
      <c r="AC38" s="82" t="n">
        <f aca="false">IF(AQ38="1",BI38,0)</f>
        <v>0</v>
      </c>
      <c r="AD38" s="82" t="n">
        <f aca="false">IF(AQ38="7",BH38,0)</f>
        <v>0</v>
      </c>
      <c r="AE38" s="82" t="n">
        <f aca="false">IF(AQ38="7",BI38,0)</f>
        <v>0</v>
      </c>
      <c r="AF38" s="82" t="n">
        <f aca="false">IF(AQ38="2",BH38,0)</f>
        <v>0</v>
      </c>
      <c r="AG38" s="82" t="n">
        <f aca="false">IF(AQ38="2",BI38,0)</f>
        <v>0</v>
      </c>
      <c r="AH38" s="82" t="n">
        <f aca="false">IF(AQ38="0",BJ38,0)</f>
        <v>0</v>
      </c>
      <c r="AI38" s="64" t="s">
        <v>99</v>
      </c>
      <c r="AJ38" s="82" t="n">
        <f aca="false">IF(AN38=0,L38,0)</f>
        <v>0</v>
      </c>
      <c r="AK38" s="82" t="n">
        <f aca="false">IF(AN38=15,L38,0)</f>
        <v>0</v>
      </c>
      <c r="AL38" s="82" t="n">
        <f aca="false">IF(AN38=21,L38,0)</f>
        <v>0</v>
      </c>
      <c r="AM38" s="51"/>
      <c r="AN38" s="82" t="n">
        <v>21</v>
      </c>
      <c r="AO38" s="82" t="n">
        <f aca="false">I38*0.0835922330097087</f>
        <v>0</v>
      </c>
      <c r="AP38" s="82" t="n">
        <f aca="false">I38*(1-0.0835922330097087)</f>
        <v>0</v>
      </c>
      <c r="AQ38" s="83" t="s">
        <v>132</v>
      </c>
      <c r="AR38" s="51"/>
      <c r="AS38" s="51"/>
      <c r="AT38" s="51"/>
      <c r="AU38" s="51"/>
      <c r="AV38" s="82" t="n">
        <f aca="false">AW38+AX38</f>
        <v>0</v>
      </c>
      <c r="AW38" s="82" t="n">
        <f aca="false">H38*AO38</f>
        <v>0</v>
      </c>
      <c r="AX38" s="82" t="n">
        <f aca="false">H38*AP38</f>
        <v>0</v>
      </c>
      <c r="AY38" s="83" t="s">
        <v>140</v>
      </c>
      <c r="AZ38" s="83" t="s">
        <v>141</v>
      </c>
      <c r="BA38" s="64" t="s">
        <v>107</v>
      </c>
      <c r="BB38" s="51"/>
      <c r="BC38" s="82" t="n">
        <f aca="false">AW38+AX38</f>
        <v>0</v>
      </c>
      <c r="BD38" s="82" t="n">
        <f aca="false">I38/(100-BE38)*100</f>
        <v>0</v>
      </c>
      <c r="BE38" s="82" t="n">
        <v>0</v>
      </c>
      <c r="BF38" s="82" t="n">
        <f aca="false">38</f>
        <v>38</v>
      </c>
      <c r="BG38" s="51"/>
      <c r="BH38" s="82" t="n">
        <f aca="false">H38*AO38</f>
        <v>0</v>
      </c>
      <c r="BI38" s="82" t="n">
        <f aca="false">H38*AP38</f>
        <v>0</v>
      </c>
      <c r="BJ38" s="82" t="n">
        <f aca="false">H38*I38</f>
        <v>0</v>
      </c>
      <c r="BK38" s="82"/>
      <c r="BL38" s="82" t="n">
        <v>722</v>
      </c>
    </row>
    <row r="39" customFormat="false" ht="15" hidden="false" customHeight="true" outlineLevel="0" collapsed="false">
      <c r="A39" s="78" t="s">
        <v>186</v>
      </c>
      <c r="B39" s="14" t="s">
        <v>187</v>
      </c>
      <c r="C39" s="14" t="s">
        <v>188</v>
      </c>
      <c r="D39" s="14"/>
      <c r="E39" s="14"/>
      <c r="F39" s="14"/>
      <c r="G39" s="14" t="s">
        <v>124</v>
      </c>
      <c r="H39" s="79" t="n">
        <v>107.8</v>
      </c>
      <c r="I39" s="80" t="n">
        <v>0</v>
      </c>
      <c r="J39" s="79" t="n">
        <f aca="false">H39*AO39</f>
        <v>0</v>
      </c>
      <c r="K39" s="79" t="n">
        <f aca="false">H39*AP39</f>
        <v>0</v>
      </c>
      <c r="L39" s="79" t="n">
        <f aca="false">H39*I39</f>
        <v>0</v>
      </c>
      <c r="M39" s="81" t="s">
        <v>104</v>
      </c>
      <c r="N39" s="53"/>
      <c r="O39" s="53"/>
      <c r="P39" s="53"/>
      <c r="Q39" s="53"/>
      <c r="R39" s="53"/>
      <c r="S39" s="53"/>
      <c r="T39" s="53"/>
      <c r="U39" s="53"/>
      <c r="V39" s="53"/>
      <c r="W39" s="53"/>
      <c r="X39" s="53"/>
      <c r="Y39" s="51"/>
      <c r="Z39" s="82" t="n">
        <f aca="false">IF(AQ39="5",BJ39,0)</f>
        <v>0</v>
      </c>
      <c r="AA39" s="51"/>
      <c r="AB39" s="82" t="n">
        <f aca="false">IF(AQ39="1",BH39,0)</f>
        <v>0</v>
      </c>
      <c r="AC39" s="82" t="n">
        <f aca="false">IF(AQ39="1",BI39,0)</f>
        <v>0</v>
      </c>
      <c r="AD39" s="82" t="n">
        <f aca="false">IF(AQ39="7",BH39,0)</f>
        <v>0</v>
      </c>
      <c r="AE39" s="82" t="n">
        <f aca="false">IF(AQ39="7",BI39,0)</f>
        <v>0</v>
      </c>
      <c r="AF39" s="82" t="n">
        <f aca="false">IF(AQ39="2",BH39,0)</f>
        <v>0</v>
      </c>
      <c r="AG39" s="82" t="n">
        <f aca="false">IF(AQ39="2",BI39,0)</f>
        <v>0</v>
      </c>
      <c r="AH39" s="82" t="n">
        <f aca="false">IF(AQ39="0",BJ39,0)</f>
        <v>0</v>
      </c>
      <c r="AI39" s="64" t="s">
        <v>99</v>
      </c>
      <c r="AJ39" s="82" t="n">
        <f aca="false">IF(AN39=0,L39,0)</f>
        <v>0</v>
      </c>
      <c r="AK39" s="82" t="n">
        <f aca="false">IF(AN39=15,L39,0)</f>
        <v>0</v>
      </c>
      <c r="AL39" s="82" t="n">
        <f aca="false">IF(AN39=21,L39,0)</f>
        <v>0</v>
      </c>
      <c r="AM39" s="51"/>
      <c r="AN39" s="82" t="n">
        <v>21</v>
      </c>
      <c r="AO39" s="82" t="n">
        <f aca="false">I39*0.0870576339737108</f>
        <v>0</v>
      </c>
      <c r="AP39" s="82" t="n">
        <f aca="false">I39*(1-0.0870576339737108)</f>
        <v>0</v>
      </c>
      <c r="AQ39" s="83" t="s">
        <v>132</v>
      </c>
      <c r="AR39" s="51"/>
      <c r="AS39" s="51"/>
      <c r="AT39" s="51"/>
      <c r="AU39" s="51"/>
      <c r="AV39" s="82" t="n">
        <f aca="false">AW39+AX39</f>
        <v>0</v>
      </c>
      <c r="AW39" s="82" t="n">
        <f aca="false">H39*AO39</f>
        <v>0</v>
      </c>
      <c r="AX39" s="82" t="n">
        <f aca="false">H39*AP39</f>
        <v>0</v>
      </c>
      <c r="AY39" s="83" t="s">
        <v>140</v>
      </c>
      <c r="AZ39" s="83" t="s">
        <v>141</v>
      </c>
      <c r="BA39" s="64" t="s">
        <v>107</v>
      </c>
      <c r="BB39" s="51"/>
      <c r="BC39" s="82" t="n">
        <f aca="false">AW39+AX39</f>
        <v>0</v>
      </c>
      <c r="BD39" s="82" t="n">
        <f aca="false">I39/(100-BE39)*100</f>
        <v>0</v>
      </c>
      <c r="BE39" s="82" t="n">
        <v>0</v>
      </c>
      <c r="BF39" s="82" t="n">
        <f aca="false">39</f>
        <v>39</v>
      </c>
      <c r="BG39" s="51"/>
      <c r="BH39" s="82" t="n">
        <f aca="false">H39*AO39</f>
        <v>0</v>
      </c>
      <c r="BI39" s="82" t="n">
        <f aca="false">H39*AP39</f>
        <v>0</v>
      </c>
      <c r="BJ39" s="82" t="n">
        <f aca="false">H39*I39</f>
        <v>0</v>
      </c>
      <c r="BK39" s="82"/>
      <c r="BL39" s="82" t="n">
        <v>722</v>
      </c>
    </row>
    <row r="40" customFormat="false" ht="15" hidden="false" customHeight="true" outlineLevel="0" collapsed="false">
      <c r="A40" s="78" t="s">
        <v>189</v>
      </c>
      <c r="B40" s="14" t="s">
        <v>190</v>
      </c>
      <c r="C40" s="14" t="s">
        <v>191</v>
      </c>
      <c r="D40" s="14"/>
      <c r="E40" s="14"/>
      <c r="F40" s="14"/>
      <c r="G40" s="14" t="s">
        <v>124</v>
      </c>
      <c r="H40" s="79" t="n">
        <v>60.7</v>
      </c>
      <c r="I40" s="80" t="n">
        <v>0</v>
      </c>
      <c r="J40" s="79" t="n">
        <f aca="false">H40*AO40</f>
        <v>0</v>
      </c>
      <c r="K40" s="79" t="n">
        <f aca="false">H40*AP40</f>
        <v>0</v>
      </c>
      <c r="L40" s="79" t="n">
        <f aca="false">H40*I40</f>
        <v>0</v>
      </c>
      <c r="M40" s="81" t="s">
        <v>104</v>
      </c>
      <c r="N40" s="53"/>
      <c r="O40" s="53"/>
      <c r="P40" s="53"/>
      <c r="Q40" s="53"/>
      <c r="R40" s="53"/>
      <c r="S40" s="53"/>
      <c r="T40" s="53"/>
      <c r="U40" s="53"/>
      <c r="V40" s="53"/>
      <c r="W40" s="53"/>
      <c r="X40" s="53"/>
      <c r="Y40" s="51"/>
      <c r="Z40" s="82" t="n">
        <f aca="false">IF(AQ40="5",BJ40,0)</f>
        <v>0</v>
      </c>
      <c r="AA40" s="51"/>
      <c r="AB40" s="82" t="n">
        <f aca="false">IF(AQ40="1",BH40,0)</f>
        <v>0</v>
      </c>
      <c r="AC40" s="82" t="n">
        <f aca="false">IF(AQ40="1",BI40,0)</f>
        <v>0</v>
      </c>
      <c r="AD40" s="82" t="n">
        <f aca="false">IF(AQ40="7",BH40,0)</f>
        <v>0</v>
      </c>
      <c r="AE40" s="82" t="n">
        <f aca="false">IF(AQ40="7",BI40,0)</f>
        <v>0</v>
      </c>
      <c r="AF40" s="82" t="n">
        <f aca="false">IF(AQ40="2",BH40,0)</f>
        <v>0</v>
      </c>
      <c r="AG40" s="82" t="n">
        <f aca="false">IF(AQ40="2",BI40,0)</f>
        <v>0</v>
      </c>
      <c r="AH40" s="82" t="n">
        <f aca="false">IF(AQ40="0",BJ40,0)</f>
        <v>0</v>
      </c>
      <c r="AI40" s="64" t="s">
        <v>99</v>
      </c>
      <c r="AJ40" s="82" t="n">
        <f aca="false">IF(AN40=0,L40,0)</f>
        <v>0</v>
      </c>
      <c r="AK40" s="82" t="n">
        <f aca="false">IF(AN40=15,L40,0)</f>
        <v>0</v>
      </c>
      <c r="AL40" s="82" t="n">
        <f aca="false">IF(AN40=21,L40,0)</f>
        <v>0</v>
      </c>
      <c r="AM40" s="51"/>
      <c r="AN40" s="82" t="n">
        <v>21</v>
      </c>
      <c r="AO40" s="82" t="n">
        <f aca="false">I40*0.0881269191402252</f>
        <v>0</v>
      </c>
      <c r="AP40" s="82" t="n">
        <f aca="false">I40*(1-0.0881269191402252)</f>
        <v>0</v>
      </c>
      <c r="AQ40" s="83" t="s">
        <v>132</v>
      </c>
      <c r="AR40" s="51"/>
      <c r="AS40" s="51"/>
      <c r="AT40" s="51"/>
      <c r="AU40" s="51"/>
      <c r="AV40" s="82" t="n">
        <f aca="false">AW40+AX40</f>
        <v>0</v>
      </c>
      <c r="AW40" s="82" t="n">
        <f aca="false">H40*AO40</f>
        <v>0</v>
      </c>
      <c r="AX40" s="82" t="n">
        <f aca="false">H40*AP40</f>
        <v>0</v>
      </c>
      <c r="AY40" s="83" t="s">
        <v>140</v>
      </c>
      <c r="AZ40" s="83" t="s">
        <v>141</v>
      </c>
      <c r="BA40" s="64" t="s">
        <v>107</v>
      </c>
      <c r="BB40" s="51"/>
      <c r="BC40" s="82" t="n">
        <f aca="false">AW40+AX40</f>
        <v>0</v>
      </c>
      <c r="BD40" s="82" t="n">
        <f aca="false">I40/(100-BE40)*100</f>
        <v>0</v>
      </c>
      <c r="BE40" s="82" t="n">
        <v>0</v>
      </c>
      <c r="BF40" s="82" t="n">
        <f aca="false">40</f>
        <v>40</v>
      </c>
      <c r="BG40" s="51"/>
      <c r="BH40" s="82" t="n">
        <f aca="false">H40*AO40</f>
        <v>0</v>
      </c>
      <c r="BI40" s="82" t="n">
        <f aca="false">H40*AP40</f>
        <v>0</v>
      </c>
      <c r="BJ40" s="82" t="n">
        <f aca="false">H40*I40</f>
        <v>0</v>
      </c>
      <c r="BK40" s="82"/>
      <c r="BL40" s="82" t="n">
        <v>722</v>
      </c>
    </row>
    <row r="41" customFormat="false" ht="15" hidden="false" customHeight="true" outlineLevel="0" collapsed="false">
      <c r="A41" s="78" t="s">
        <v>192</v>
      </c>
      <c r="B41" s="14" t="s">
        <v>193</v>
      </c>
      <c r="C41" s="14" t="s">
        <v>194</v>
      </c>
      <c r="D41" s="14"/>
      <c r="E41" s="14"/>
      <c r="F41" s="14"/>
      <c r="G41" s="14" t="s">
        <v>124</v>
      </c>
      <c r="H41" s="79" t="n">
        <v>354.6</v>
      </c>
      <c r="I41" s="80" t="n">
        <v>0</v>
      </c>
      <c r="J41" s="79" t="n">
        <f aca="false">H41*AO41</f>
        <v>0</v>
      </c>
      <c r="K41" s="79" t="n">
        <f aca="false">H41*AP41</f>
        <v>0</v>
      </c>
      <c r="L41" s="79" t="n">
        <f aca="false">H41*I41</f>
        <v>0</v>
      </c>
      <c r="M41" s="81" t="s">
        <v>104</v>
      </c>
      <c r="N41" s="53"/>
      <c r="O41" s="53"/>
      <c r="P41" s="53"/>
      <c r="Q41" s="53"/>
      <c r="R41" s="53"/>
      <c r="S41" s="53"/>
      <c r="T41" s="53"/>
      <c r="U41" s="53"/>
      <c r="V41" s="53"/>
      <c r="W41" s="53"/>
      <c r="X41" s="53"/>
      <c r="Y41" s="51"/>
      <c r="Z41" s="82" t="n">
        <f aca="false">IF(AQ41="5",BJ41,0)</f>
        <v>0</v>
      </c>
      <c r="AA41" s="51"/>
      <c r="AB41" s="82" t="n">
        <f aca="false">IF(AQ41="1",BH41,0)</f>
        <v>0</v>
      </c>
      <c r="AC41" s="82" t="n">
        <f aca="false">IF(AQ41="1",BI41,0)</f>
        <v>0</v>
      </c>
      <c r="AD41" s="82" t="n">
        <f aca="false">IF(AQ41="7",BH41,0)</f>
        <v>0</v>
      </c>
      <c r="AE41" s="82" t="n">
        <f aca="false">IF(AQ41="7",BI41,0)</f>
        <v>0</v>
      </c>
      <c r="AF41" s="82" t="n">
        <f aca="false">IF(AQ41="2",BH41,0)</f>
        <v>0</v>
      </c>
      <c r="AG41" s="82" t="n">
        <f aca="false">IF(AQ41="2",BI41,0)</f>
        <v>0</v>
      </c>
      <c r="AH41" s="82" t="n">
        <f aca="false">IF(AQ41="0",BJ41,0)</f>
        <v>0</v>
      </c>
      <c r="AI41" s="64" t="s">
        <v>99</v>
      </c>
      <c r="AJ41" s="82" t="n">
        <f aca="false">IF(AN41=0,L41,0)</f>
        <v>0</v>
      </c>
      <c r="AK41" s="82" t="n">
        <f aca="false">IF(AN41=15,L41,0)</f>
        <v>0</v>
      </c>
      <c r="AL41" s="82" t="n">
        <f aca="false">IF(AN41=21,L41,0)</f>
        <v>0</v>
      </c>
      <c r="AM41" s="51"/>
      <c r="AN41" s="82" t="n">
        <v>21</v>
      </c>
      <c r="AO41" s="82" t="n">
        <f aca="false">I41*0.0902901785714286</f>
        <v>0</v>
      </c>
      <c r="AP41" s="82" t="n">
        <f aca="false">I41*(1-0.0902901785714286)</f>
        <v>0</v>
      </c>
      <c r="AQ41" s="83" t="s">
        <v>132</v>
      </c>
      <c r="AR41" s="51"/>
      <c r="AS41" s="51"/>
      <c r="AT41" s="51"/>
      <c r="AU41" s="51"/>
      <c r="AV41" s="82" t="n">
        <f aca="false">AW41+AX41</f>
        <v>0</v>
      </c>
      <c r="AW41" s="82" t="n">
        <f aca="false">H41*AO41</f>
        <v>0</v>
      </c>
      <c r="AX41" s="82" t="n">
        <f aca="false">H41*AP41</f>
        <v>0</v>
      </c>
      <c r="AY41" s="83" t="s">
        <v>140</v>
      </c>
      <c r="AZ41" s="83" t="s">
        <v>141</v>
      </c>
      <c r="BA41" s="64" t="s">
        <v>107</v>
      </c>
      <c r="BB41" s="51"/>
      <c r="BC41" s="82" t="n">
        <f aca="false">AW41+AX41</f>
        <v>0</v>
      </c>
      <c r="BD41" s="82" t="n">
        <f aca="false">I41/(100-BE41)*100</f>
        <v>0</v>
      </c>
      <c r="BE41" s="82" t="n">
        <v>0</v>
      </c>
      <c r="BF41" s="82" t="n">
        <f aca="false">41</f>
        <v>41</v>
      </c>
      <c r="BG41" s="51"/>
      <c r="BH41" s="82" t="n">
        <f aca="false">H41*AO41</f>
        <v>0</v>
      </c>
      <c r="BI41" s="82" t="n">
        <f aca="false">H41*AP41</f>
        <v>0</v>
      </c>
      <c r="BJ41" s="82" t="n">
        <f aca="false">H41*I41</f>
        <v>0</v>
      </c>
      <c r="BK41" s="82"/>
      <c r="BL41" s="82" t="n">
        <v>722</v>
      </c>
    </row>
    <row r="42" customFormat="false" ht="15" hidden="false" customHeight="true" outlineLevel="0" collapsed="false">
      <c r="A42" s="78" t="s">
        <v>195</v>
      </c>
      <c r="B42" s="14" t="s">
        <v>196</v>
      </c>
      <c r="C42" s="14" t="s">
        <v>197</v>
      </c>
      <c r="D42" s="14"/>
      <c r="E42" s="14"/>
      <c r="F42" s="14"/>
      <c r="G42" s="14" t="s">
        <v>124</v>
      </c>
      <c r="H42" s="79" t="n">
        <v>210.6</v>
      </c>
      <c r="I42" s="80" t="n">
        <v>0</v>
      </c>
      <c r="J42" s="79" t="n">
        <f aca="false">H42*AO42</f>
        <v>0</v>
      </c>
      <c r="K42" s="79" t="n">
        <f aca="false">H42*AP42</f>
        <v>0</v>
      </c>
      <c r="L42" s="79" t="n">
        <f aca="false">H42*I42</f>
        <v>0</v>
      </c>
      <c r="M42" s="81" t="s">
        <v>104</v>
      </c>
      <c r="N42" s="53"/>
      <c r="O42" s="53"/>
      <c r="P42" s="53"/>
      <c r="Q42" s="53"/>
      <c r="R42" s="53"/>
      <c r="S42" s="53"/>
      <c r="T42" s="53"/>
      <c r="U42" s="53"/>
      <c r="V42" s="53"/>
      <c r="W42" s="53"/>
      <c r="X42" s="53"/>
      <c r="Y42" s="51"/>
      <c r="Z42" s="82" t="n">
        <f aca="false">IF(AQ42="5",BJ42,0)</f>
        <v>0</v>
      </c>
      <c r="AA42" s="51"/>
      <c r="AB42" s="82" t="n">
        <f aca="false">IF(AQ42="1",BH42,0)</f>
        <v>0</v>
      </c>
      <c r="AC42" s="82" t="n">
        <f aca="false">IF(AQ42="1",BI42,0)</f>
        <v>0</v>
      </c>
      <c r="AD42" s="82" t="n">
        <f aca="false">IF(AQ42="7",BH42,0)</f>
        <v>0</v>
      </c>
      <c r="AE42" s="82" t="n">
        <f aca="false">IF(AQ42="7",BI42,0)</f>
        <v>0</v>
      </c>
      <c r="AF42" s="82" t="n">
        <f aca="false">IF(AQ42="2",BH42,0)</f>
        <v>0</v>
      </c>
      <c r="AG42" s="82" t="n">
        <f aca="false">IF(AQ42="2",BI42,0)</f>
        <v>0</v>
      </c>
      <c r="AH42" s="82" t="n">
        <f aca="false">IF(AQ42="0",BJ42,0)</f>
        <v>0</v>
      </c>
      <c r="AI42" s="64" t="s">
        <v>99</v>
      </c>
      <c r="AJ42" s="82" t="n">
        <f aca="false">IF(AN42=0,L42,0)</f>
        <v>0</v>
      </c>
      <c r="AK42" s="82" t="n">
        <f aca="false">IF(AN42=15,L42,0)</f>
        <v>0</v>
      </c>
      <c r="AL42" s="82" t="n">
        <f aca="false">IF(AN42=21,L42,0)</f>
        <v>0</v>
      </c>
      <c r="AM42" s="51"/>
      <c r="AN42" s="82" t="n">
        <v>21</v>
      </c>
      <c r="AO42" s="82" t="n">
        <f aca="false">I42*0.102146464646465</f>
        <v>0</v>
      </c>
      <c r="AP42" s="82" t="n">
        <f aca="false">I42*(1-0.102146464646465)</f>
        <v>0</v>
      </c>
      <c r="AQ42" s="83" t="s">
        <v>132</v>
      </c>
      <c r="AR42" s="51"/>
      <c r="AS42" s="51"/>
      <c r="AT42" s="51"/>
      <c r="AU42" s="51"/>
      <c r="AV42" s="82" t="n">
        <f aca="false">AW42+AX42</f>
        <v>0</v>
      </c>
      <c r="AW42" s="82" t="n">
        <f aca="false">H42*AO42</f>
        <v>0</v>
      </c>
      <c r="AX42" s="82" t="n">
        <f aca="false">H42*AP42</f>
        <v>0</v>
      </c>
      <c r="AY42" s="83" t="s">
        <v>140</v>
      </c>
      <c r="AZ42" s="83" t="s">
        <v>141</v>
      </c>
      <c r="BA42" s="64" t="s">
        <v>107</v>
      </c>
      <c r="BB42" s="51"/>
      <c r="BC42" s="82" t="n">
        <f aca="false">AW42+AX42</f>
        <v>0</v>
      </c>
      <c r="BD42" s="82" t="n">
        <f aca="false">I42/(100-BE42)*100</f>
        <v>0</v>
      </c>
      <c r="BE42" s="82" t="n">
        <v>0</v>
      </c>
      <c r="BF42" s="82" t="n">
        <f aca="false">42</f>
        <v>42</v>
      </c>
      <c r="BG42" s="51"/>
      <c r="BH42" s="82" t="n">
        <f aca="false">H42*AO42</f>
        <v>0</v>
      </c>
      <c r="BI42" s="82" t="n">
        <f aca="false">H42*AP42</f>
        <v>0</v>
      </c>
      <c r="BJ42" s="82" t="n">
        <f aca="false">H42*I42</f>
        <v>0</v>
      </c>
      <c r="BK42" s="82"/>
      <c r="BL42" s="82" t="n">
        <v>722</v>
      </c>
    </row>
    <row r="43" customFormat="false" ht="15" hidden="false" customHeight="true" outlineLevel="0" collapsed="false">
      <c r="A43" s="78" t="s">
        <v>198</v>
      </c>
      <c r="B43" s="14" t="s">
        <v>199</v>
      </c>
      <c r="C43" s="14" t="s">
        <v>200</v>
      </c>
      <c r="D43" s="14"/>
      <c r="E43" s="14"/>
      <c r="F43" s="14"/>
      <c r="G43" s="14" t="s">
        <v>124</v>
      </c>
      <c r="H43" s="79" t="n">
        <v>104</v>
      </c>
      <c r="I43" s="80" t="n">
        <v>0</v>
      </c>
      <c r="J43" s="79" t="n">
        <f aca="false">H43*AO43</f>
        <v>0</v>
      </c>
      <c r="K43" s="79" t="n">
        <f aca="false">H43*AP43</f>
        <v>0</v>
      </c>
      <c r="L43" s="79" t="n">
        <f aca="false">H43*I43</f>
        <v>0</v>
      </c>
      <c r="M43" s="81" t="s">
        <v>104</v>
      </c>
      <c r="N43" s="53"/>
      <c r="O43" s="53"/>
      <c r="P43" s="53"/>
      <c r="Q43" s="53"/>
      <c r="R43" s="53"/>
      <c r="S43" s="53"/>
      <c r="T43" s="53"/>
      <c r="U43" s="53"/>
      <c r="V43" s="53"/>
      <c r="W43" s="53"/>
      <c r="X43" s="53"/>
      <c r="Y43" s="51"/>
      <c r="Z43" s="82" t="n">
        <f aca="false">IF(AQ43="5",BJ43,0)</f>
        <v>0</v>
      </c>
      <c r="AA43" s="51"/>
      <c r="AB43" s="82" t="n">
        <f aca="false">IF(AQ43="1",BH43,0)</f>
        <v>0</v>
      </c>
      <c r="AC43" s="82" t="n">
        <f aca="false">IF(AQ43="1",BI43,0)</f>
        <v>0</v>
      </c>
      <c r="AD43" s="82" t="n">
        <f aca="false">IF(AQ43="7",BH43,0)</f>
        <v>0</v>
      </c>
      <c r="AE43" s="82" t="n">
        <f aca="false">IF(AQ43="7",BI43,0)</f>
        <v>0</v>
      </c>
      <c r="AF43" s="82" t="n">
        <f aca="false">IF(AQ43="2",BH43,0)</f>
        <v>0</v>
      </c>
      <c r="AG43" s="82" t="n">
        <f aca="false">IF(AQ43="2",BI43,0)</f>
        <v>0</v>
      </c>
      <c r="AH43" s="82" t="n">
        <f aca="false">IF(AQ43="0",BJ43,0)</f>
        <v>0</v>
      </c>
      <c r="AI43" s="64" t="s">
        <v>99</v>
      </c>
      <c r="AJ43" s="82" t="n">
        <f aca="false">IF(AN43=0,L43,0)</f>
        <v>0</v>
      </c>
      <c r="AK43" s="82" t="n">
        <f aca="false">IF(AN43=15,L43,0)</f>
        <v>0</v>
      </c>
      <c r="AL43" s="82" t="n">
        <f aca="false">IF(AN43=21,L43,0)</f>
        <v>0</v>
      </c>
      <c r="AM43" s="51"/>
      <c r="AN43" s="82" t="n">
        <v>21</v>
      </c>
      <c r="AO43" s="82" t="n">
        <f aca="false">I43*0.10494227526268</f>
        <v>0</v>
      </c>
      <c r="AP43" s="82" t="n">
        <f aca="false">I43*(1-0.10494227526268)</f>
        <v>0</v>
      </c>
      <c r="AQ43" s="83" t="s">
        <v>132</v>
      </c>
      <c r="AR43" s="51"/>
      <c r="AS43" s="51"/>
      <c r="AT43" s="51"/>
      <c r="AU43" s="51"/>
      <c r="AV43" s="82" t="n">
        <f aca="false">AW43+AX43</f>
        <v>0</v>
      </c>
      <c r="AW43" s="82" t="n">
        <f aca="false">H43*AO43</f>
        <v>0</v>
      </c>
      <c r="AX43" s="82" t="n">
        <f aca="false">H43*AP43</f>
        <v>0</v>
      </c>
      <c r="AY43" s="83" t="s">
        <v>140</v>
      </c>
      <c r="AZ43" s="83" t="s">
        <v>141</v>
      </c>
      <c r="BA43" s="64" t="s">
        <v>107</v>
      </c>
      <c r="BB43" s="51"/>
      <c r="BC43" s="82" t="n">
        <f aca="false">AW43+AX43</f>
        <v>0</v>
      </c>
      <c r="BD43" s="82" t="n">
        <f aca="false">I43/(100-BE43)*100</f>
        <v>0</v>
      </c>
      <c r="BE43" s="82" t="n">
        <v>0</v>
      </c>
      <c r="BF43" s="82" t="n">
        <f aca="false">43</f>
        <v>43</v>
      </c>
      <c r="BG43" s="51"/>
      <c r="BH43" s="82" t="n">
        <f aca="false">H43*AO43</f>
        <v>0</v>
      </c>
      <c r="BI43" s="82" t="n">
        <f aca="false">H43*AP43</f>
        <v>0</v>
      </c>
      <c r="BJ43" s="82" t="n">
        <f aca="false">H43*I43</f>
        <v>0</v>
      </c>
      <c r="BK43" s="82"/>
      <c r="BL43" s="82" t="n">
        <v>722</v>
      </c>
    </row>
    <row r="44" customFormat="false" ht="15" hidden="false" customHeight="true" outlineLevel="0" collapsed="false">
      <c r="A44" s="78" t="s">
        <v>201</v>
      </c>
      <c r="B44" s="14" t="s">
        <v>202</v>
      </c>
      <c r="C44" s="14" t="s">
        <v>203</v>
      </c>
      <c r="D44" s="14"/>
      <c r="E44" s="14"/>
      <c r="F44" s="14"/>
      <c r="G44" s="14" t="s">
        <v>111</v>
      </c>
      <c r="H44" s="79" t="n">
        <v>2</v>
      </c>
      <c r="I44" s="80" t="n">
        <v>0</v>
      </c>
      <c r="J44" s="79" t="n">
        <f aca="false">H44*AO44</f>
        <v>0</v>
      </c>
      <c r="K44" s="79" t="n">
        <f aca="false">H44*AP44</f>
        <v>0</v>
      </c>
      <c r="L44" s="79" t="n">
        <f aca="false">H44*I44</f>
        <v>0</v>
      </c>
      <c r="M44" s="81" t="s">
        <v>104</v>
      </c>
      <c r="N44" s="53"/>
      <c r="O44" s="53"/>
      <c r="P44" s="53"/>
      <c r="Q44" s="53"/>
      <c r="R44" s="53"/>
      <c r="S44" s="53"/>
      <c r="T44" s="53"/>
      <c r="U44" s="53"/>
      <c r="V44" s="53"/>
      <c r="W44" s="53"/>
      <c r="X44" s="53"/>
      <c r="Y44" s="51"/>
      <c r="Z44" s="82" t="n">
        <f aca="false">IF(AQ44="5",BJ44,0)</f>
        <v>0</v>
      </c>
      <c r="AA44" s="51"/>
      <c r="AB44" s="82" t="n">
        <f aca="false">IF(AQ44="1",BH44,0)</f>
        <v>0</v>
      </c>
      <c r="AC44" s="82" t="n">
        <f aca="false">IF(AQ44="1",BI44,0)</f>
        <v>0</v>
      </c>
      <c r="AD44" s="82" t="n">
        <f aca="false">IF(AQ44="7",BH44,0)</f>
        <v>0</v>
      </c>
      <c r="AE44" s="82" t="n">
        <f aca="false">IF(AQ44="7",BI44,0)</f>
        <v>0</v>
      </c>
      <c r="AF44" s="82" t="n">
        <f aca="false">IF(AQ44="2",BH44,0)</f>
        <v>0</v>
      </c>
      <c r="AG44" s="82" t="n">
        <f aca="false">IF(AQ44="2",BI44,0)</f>
        <v>0</v>
      </c>
      <c r="AH44" s="82" t="n">
        <f aca="false">IF(AQ44="0",BJ44,0)</f>
        <v>0</v>
      </c>
      <c r="AI44" s="64" t="s">
        <v>99</v>
      </c>
      <c r="AJ44" s="82" t="n">
        <f aca="false">IF(AN44=0,L44,0)</f>
        <v>0</v>
      </c>
      <c r="AK44" s="82" t="n">
        <f aca="false">IF(AN44=15,L44,0)</f>
        <v>0</v>
      </c>
      <c r="AL44" s="82" t="n">
        <f aca="false">IF(AN44=21,L44,0)</f>
        <v>0</v>
      </c>
      <c r="AM44" s="51"/>
      <c r="AN44" s="82" t="n">
        <v>21</v>
      </c>
      <c r="AO44" s="82" t="n">
        <f aca="false">I44*0.393497596153846</f>
        <v>0</v>
      </c>
      <c r="AP44" s="82" t="n">
        <f aca="false">I44*(1-0.393497596153846)</f>
        <v>0</v>
      </c>
      <c r="AQ44" s="83" t="s">
        <v>132</v>
      </c>
      <c r="AR44" s="51"/>
      <c r="AS44" s="51"/>
      <c r="AT44" s="51"/>
      <c r="AU44" s="51"/>
      <c r="AV44" s="82" t="n">
        <f aca="false">AW44+AX44</f>
        <v>0</v>
      </c>
      <c r="AW44" s="82" t="n">
        <f aca="false">H44*AO44</f>
        <v>0</v>
      </c>
      <c r="AX44" s="82" t="n">
        <f aca="false">H44*AP44</f>
        <v>0</v>
      </c>
      <c r="AY44" s="83" t="s">
        <v>140</v>
      </c>
      <c r="AZ44" s="83" t="s">
        <v>141</v>
      </c>
      <c r="BA44" s="64" t="s">
        <v>107</v>
      </c>
      <c r="BB44" s="51"/>
      <c r="BC44" s="82" t="n">
        <f aca="false">AW44+AX44</f>
        <v>0</v>
      </c>
      <c r="BD44" s="82" t="n">
        <f aca="false">I44/(100-BE44)*100</f>
        <v>0</v>
      </c>
      <c r="BE44" s="82" t="n">
        <v>0</v>
      </c>
      <c r="BF44" s="82" t="n">
        <f aca="false">44</f>
        <v>44</v>
      </c>
      <c r="BG44" s="51"/>
      <c r="BH44" s="82" t="n">
        <f aca="false">H44*AO44</f>
        <v>0</v>
      </c>
      <c r="BI44" s="82" t="n">
        <f aca="false">H44*AP44</f>
        <v>0</v>
      </c>
      <c r="BJ44" s="82" t="n">
        <f aca="false">H44*I44</f>
        <v>0</v>
      </c>
      <c r="BK44" s="82"/>
      <c r="BL44" s="82" t="n">
        <v>722</v>
      </c>
    </row>
    <row r="45" customFormat="false" ht="15" hidden="false" customHeight="true" outlineLevel="0" collapsed="false">
      <c r="A45" s="78" t="s">
        <v>204</v>
      </c>
      <c r="B45" s="14" t="s">
        <v>205</v>
      </c>
      <c r="C45" s="14" t="s">
        <v>206</v>
      </c>
      <c r="D45" s="14"/>
      <c r="E45" s="14"/>
      <c r="F45" s="14"/>
      <c r="G45" s="14" t="s">
        <v>111</v>
      </c>
      <c r="H45" s="79" t="n">
        <v>1</v>
      </c>
      <c r="I45" s="80" t="n">
        <v>0</v>
      </c>
      <c r="J45" s="79" t="n">
        <f aca="false">H45*AO45</f>
        <v>0</v>
      </c>
      <c r="K45" s="79" t="n">
        <f aca="false">H45*AP45</f>
        <v>0</v>
      </c>
      <c r="L45" s="79" t="n">
        <f aca="false">H45*I45</f>
        <v>0</v>
      </c>
      <c r="M45" s="81" t="s">
        <v>104</v>
      </c>
      <c r="N45" s="53"/>
      <c r="O45" s="53"/>
      <c r="P45" s="53"/>
      <c r="Q45" s="53"/>
      <c r="R45" s="53"/>
      <c r="S45" s="53"/>
      <c r="T45" s="53"/>
      <c r="U45" s="53"/>
      <c r="V45" s="53"/>
      <c r="W45" s="53"/>
      <c r="X45" s="53"/>
      <c r="Y45" s="51"/>
      <c r="Z45" s="82" t="n">
        <f aca="false">IF(AQ45="5",BJ45,0)</f>
        <v>0</v>
      </c>
      <c r="AA45" s="51"/>
      <c r="AB45" s="82" t="n">
        <f aca="false">IF(AQ45="1",BH45,0)</f>
        <v>0</v>
      </c>
      <c r="AC45" s="82" t="n">
        <f aca="false">IF(AQ45="1",BI45,0)</f>
        <v>0</v>
      </c>
      <c r="AD45" s="82" t="n">
        <f aca="false">IF(AQ45="7",BH45,0)</f>
        <v>0</v>
      </c>
      <c r="AE45" s="82" t="n">
        <f aca="false">IF(AQ45="7",BI45,0)</f>
        <v>0</v>
      </c>
      <c r="AF45" s="82" t="n">
        <f aca="false">IF(AQ45="2",BH45,0)</f>
        <v>0</v>
      </c>
      <c r="AG45" s="82" t="n">
        <f aca="false">IF(AQ45="2",BI45,0)</f>
        <v>0</v>
      </c>
      <c r="AH45" s="82" t="n">
        <f aca="false">IF(AQ45="0",BJ45,0)</f>
        <v>0</v>
      </c>
      <c r="AI45" s="64" t="s">
        <v>99</v>
      </c>
      <c r="AJ45" s="82" t="n">
        <f aca="false">IF(AN45=0,L45,0)</f>
        <v>0</v>
      </c>
      <c r="AK45" s="82" t="n">
        <f aca="false">IF(AN45=15,L45,0)</f>
        <v>0</v>
      </c>
      <c r="AL45" s="82" t="n">
        <f aca="false">IF(AN45=21,L45,0)</f>
        <v>0</v>
      </c>
      <c r="AM45" s="51"/>
      <c r="AN45" s="82" t="n">
        <v>21</v>
      </c>
      <c r="AO45" s="82" t="n">
        <f aca="false">I45*0.630911680911681</f>
        <v>0</v>
      </c>
      <c r="AP45" s="82" t="n">
        <f aca="false">I45*(1-0.630911680911681)</f>
        <v>0</v>
      </c>
      <c r="AQ45" s="83" t="s">
        <v>132</v>
      </c>
      <c r="AR45" s="51"/>
      <c r="AS45" s="51"/>
      <c r="AT45" s="51"/>
      <c r="AU45" s="51"/>
      <c r="AV45" s="82" t="n">
        <f aca="false">AW45+AX45</f>
        <v>0</v>
      </c>
      <c r="AW45" s="82" t="n">
        <f aca="false">H45*AO45</f>
        <v>0</v>
      </c>
      <c r="AX45" s="82" t="n">
        <f aca="false">H45*AP45</f>
        <v>0</v>
      </c>
      <c r="AY45" s="83" t="s">
        <v>140</v>
      </c>
      <c r="AZ45" s="83" t="s">
        <v>141</v>
      </c>
      <c r="BA45" s="64" t="s">
        <v>107</v>
      </c>
      <c r="BB45" s="51"/>
      <c r="BC45" s="82" t="n">
        <f aca="false">AW45+AX45</f>
        <v>0</v>
      </c>
      <c r="BD45" s="82" t="n">
        <f aca="false">I45/(100-BE45)*100</f>
        <v>0</v>
      </c>
      <c r="BE45" s="82" t="n">
        <v>0</v>
      </c>
      <c r="BF45" s="82" t="n">
        <f aca="false">45</f>
        <v>45</v>
      </c>
      <c r="BG45" s="51"/>
      <c r="BH45" s="82" t="n">
        <f aca="false">H45*AO45</f>
        <v>0</v>
      </c>
      <c r="BI45" s="82" t="n">
        <f aca="false">H45*AP45</f>
        <v>0</v>
      </c>
      <c r="BJ45" s="82" t="n">
        <f aca="false">H45*I45</f>
        <v>0</v>
      </c>
      <c r="BK45" s="82"/>
      <c r="BL45" s="82" t="n">
        <v>722</v>
      </c>
    </row>
    <row r="46" customFormat="false" ht="15" hidden="false" customHeight="true" outlineLevel="0" collapsed="false">
      <c r="A46" s="78" t="s">
        <v>207</v>
      </c>
      <c r="B46" s="14" t="s">
        <v>208</v>
      </c>
      <c r="C46" s="14" t="s">
        <v>209</v>
      </c>
      <c r="D46" s="14"/>
      <c r="E46" s="14"/>
      <c r="F46" s="14"/>
      <c r="G46" s="14" t="s">
        <v>111</v>
      </c>
      <c r="H46" s="79" t="n">
        <v>1</v>
      </c>
      <c r="I46" s="80" t="n">
        <v>0</v>
      </c>
      <c r="J46" s="79" t="n">
        <f aca="false">H46*AO46</f>
        <v>0</v>
      </c>
      <c r="K46" s="79" t="n">
        <f aca="false">H46*AP46</f>
        <v>0</v>
      </c>
      <c r="L46" s="79" t="n">
        <f aca="false">H46*I46</f>
        <v>0</v>
      </c>
      <c r="M46" s="81" t="s">
        <v>104</v>
      </c>
      <c r="N46" s="53"/>
      <c r="O46" s="53"/>
      <c r="P46" s="53"/>
      <c r="Q46" s="53"/>
      <c r="R46" s="53"/>
      <c r="S46" s="53"/>
      <c r="T46" s="53"/>
      <c r="U46" s="53"/>
      <c r="V46" s="53"/>
      <c r="W46" s="53"/>
      <c r="X46" s="53"/>
      <c r="Y46" s="51"/>
      <c r="Z46" s="82" t="n">
        <f aca="false">IF(AQ46="5",BJ46,0)</f>
        <v>0</v>
      </c>
      <c r="AA46" s="51"/>
      <c r="AB46" s="82" t="n">
        <f aca="false">IF(AQ46="1",BH46,0)</f>
        <v>0</v>
      </c>
      <c r="AC46" s="82" t="n">
        <f aca="false">IF(AQ46="1",BI46,0)</f>
        <v>0</v>
      </c>
      <c r="AD46" s="82" t="n">
        <f aca="false">IF(AQ46="7",BH46,0)</f>
        <v>0</v>
      </c>
      <c r="AE46" s="82" t="n">
        <f aca="false">IF(AQ46="7",BI46,0)</f>
        <v>0</v>
      </c>
      <c r="AF46" s="82" t="n">
        <f aca="false">IF(AQ46="2",BH46,0)</f>
        <v>0</v>
      </c>
      <c r="AG46" s="82" t="n">
        <f aca="false">IF(AQ46="2",BI46,0)</f>
        <v>0</v>
      </c>
      <c r="AH46" s="82" t="n">
        <f aca="false">IF(AQ46="0",BJ46,0)</f>
        <v>0</v>
      </c>
      <c r="AI46" s="64" t="s">
        <v>99</v>
      </c>
      <c r="AJ46" s="82" t="n">
        <f aca="false">IF(AN46=0,L46,0)</f>
        <v>0</v>
      </c>
      <c r="AK46" s="82" t="n">
        <f aca="false">IF(AN46=15,L46,0)</f>
        <v>0</v>
      </c>
      <c r="AL46" s="82" t="n">
        <f aca="false">IF(AN46=21,L46,0)</f>
        <v>0</v>
      </c>
      <c r="AM46" s="51"/>
      <c r="AN46" s="82" t="n">
        <v>21</v>
      </c>
      <c r="AO46" s="82" t="n">
        <f aca="false">I46*0.941228183439056</f>
        <v>0</v>
      </c>
      <c r="AP46" s="82" t="n">
        <f aca="false">I46*(1-0.941228183439056)</f>
        <v>0</v>
      </c>
      <c r="AQ46" s="83" t="s">
        <v>132</v>
      </c>
      <c r="AR46" s="51"/>
      <c r="AS46" s="51"/>
      <c r="AT46" s="51"/>
      <c r="AU46" s="51"/>
      <c r="AV46" s="82" t="n">
        <f aca="false">AW46+AX46</f>
        <v>0</v>
      </c>
      <c r="AW46" s="82" t="n">
        <f aca="false">H46*AO46</f>
        <v>0</v>
      </c>
      <c r="AX46" s="82" t="n">
        <f aca="false">H46*AP46</f>
        <v>0</v>
      </c>
      <c r="AY46" s="83" t="s">
        <v>140</v>
      </c>
      <c r="AZ46" s="83" t="s">
        <v>141</v>
      </c>
      <c r="BA46" s="64" t="s">
        <v>107</v>
      </c>
      <c r="BB46" s="51"/>
      <c r="BC46" s="82" t="n">
        <f aca="false">AW46+AX46</f>
        <v>0</v>
      </c>
      <c r="BD46" s="82" t="n">
        <f aca="false">I46/(100-BE46)*100</f>
        <v>0</v>
      </c>
      <c r="BE46" s="82" t="n">
        <v>0</v>
      </c>
      <c r="BF46" s="82" t="n">
        <f aca="false">46</f>
        <v>46</v>
      </c>
      <c r="BG46" s="51"/>
      <c r="BH46" s="82" t="n">
        <f aca="false">H46*AO46</f>
        <v>0</v>
      </c>
      <c r="BI46" s="82" t="n">
        <f aca="false">H46*AP46</f>
        <v>0</v>
      </c>
      <c r="BJ46" s="82" t="n">
        <f aca="false">H46*I46</f>
        <v>0</v>
      </c>
      <c r="BK46" s="82"/>
      <c r="BL46" s="82" t="n">
        <v>722</v>
      </c>
    </row>
    <row r="47" customFormat="false" ht="15" hidden="false" customHeight="true" outlineLevel="0" collapsed="false">
      <c r="A47" s="78" t="s">
        <v>210</v>
      </c>
      <c r="B47" s="14" t="s">
        <v>211</v>
      </c>
      <c r="C47" s="14" t="s">
        <v>212</v>
      </c>
      <c r="D47" s="14"/>
      <c r="E47" s="14"/>
      <c r="F47" s="14"/>
      <c r="G47" s="14" t="s">
        <v>111</v>
      </c>
      <c r="H47" s="79" t="n">
        <v>2</v>
      </c>
      <c r="I47" s="80" t="n">
        <v>0</v>
      </c>
      <c r="J47" s="79" t="n">
        <f aca="false">H47*AO47</f>
        <v>0</v>
      </c>
      <c r="K47" s="79" t="n">
        <f aca="false">H47*AP47</f>
        <v>0</v>
      </c>
      <c r="L47" s="79" t="n">
        <f aca="false">H47*I47</f>
        <v>0</v>
      </c>
      <c r="M47" s="81" t="s">
        <v>104</v>
      </c>
      <c r="N47" s="53"/>
      <c r="O47" s="53"/>
      <c r="P47" s="53"/>
      <c r="Q47" s="53"/>
      <c r="R47" s="53"/>
      <c r="S47" s="53"/>
      <c r="T47" s="53"/>
      <c r="U47" s="53"/>
      <c r="V47" s="53"/>
      <c r="W47" s="53"/>
      <c r="X47" s="53"/>
      <c r="Y47" s="51"/>
      <c r="Z47" s="82" t="n">
        <f aca="false">IF(AQ47="5",BJ47,0)</f>
        <v>0</v>
      </c>
      <c r="AA47" s="51"/>
      <c r="AB47" s="82" t="n">
        <f aca="false">IF(AQ47="1",BH47,0)</f>
        <v>0</v>
      </c>
      <c r="AC47" s="82" t="n">
        <f aca="false">IF(AQ47="1",BI47,0)</f>
        <v>0</v>
      </c>
      <c r="AD47" s="82" t="n">
        <f aca="false">IF(AQ47="7",BH47,0)</f>
        <v>0</v>
      </c>
      <c r="AE47" s="82" t="n">
        <f aca="false">IF(AQ47="7",BI47,0)</f>
        <v>0</v>
      </c>
      <c r="AF47" s="82" t="n">
        <f aca="false">IF(AQ47="2",BH47,0)</f>
        <v>0</v>
      </c>
      <c r="AG47" s="82" t="n">
        <f aca="false">IF(AQ47="2",BI47,0)</f>
        <v>0</v>
      </c>
      <c r="AH47" s="82" t="n">
        <f aca="false">IF(AQ47="0",BJ47,0)</f>
        <v>0</v>
      </c>
      <c r="AI47" s="64" t="s">
        <v>99</v>
      </c>
      <c r="AJ47" s="82" t="n">
        <f aca="false">IF(AN47=0,L47,0)</f>
        <v>0</v>
      </c>
      <c r="AK47" s="82" t="n">
        <f aca="false">IF(AN47=15,L47,0)</f>
        <v>0</v>
      </c>
      <c r="AL47" s="82" t="n">
        <f aca="false">IF(AN47=21,L47,0)</f>
        <v>0</v>
      </c>
      <c r="AM47" s="51"/>
      <c r="AN47" s="82" t="n">
        <v>21</v>
      </c>
      <c r="AO47" s="82" t="n">
        <f aca="false">I47*0.887688017946559</f>
        <v>0</v>
      </c>
      <c r="AP47" s="82" t="n">
        <f aca="false">I47*(1-0.887688017946559)</f>
        <v>0</v>
      </c>
      <c r="AQ47" s="83" t="s">
        <v>132</v>
      </c>
      <c r="AR47" s="51"/>
      <c r="AS47" s="51"/>
      <c r="AT47" s="51"/>
      <c r="AU47" s="51"/>
      <c r="AV47" s="82" t="n">
        <f aca="false">AW47+AX47</f>
        <v>0</v>
      </c>
      <c r="AW47" s="82" t="n">
        <f aca="false">H47*AO47</f>
        <v>0</v>
      </c>
      <c r="AX47" s="82" t="n">
        <f aca="false">H47*AP47</f>
        <v>0</v>
      </c>
      <c r="AY47" s="83" t="s">
        <v>140</v>
      </c>
      <c r="AZ47" s="83" t="s">
        <v>141</v>
      </c>
      <c r="BA47" s="64" t="s">
        <v>107</v>
      </c>
      <c r="BB47" s="51"/>
      <c r="BC47" s="82" t="n">
        <f aca="false">AW47+AX47</f>
        <v>0</v>
      </c>
      <c r="BD47" s="82" t="n">
        <f aca="false">I47/(100-BE47)*100</f>
        <v>0</v>
      </c>
      <c r="BE47" s="82" t="n">
        <v>0</v>
      </c>
      <c r="BF47" s="82" t="n">
        <f aca="false">47</f>
        <v>47</v>
      </c>
      <c r="BG47" s="51"/>
      <c r="BH47" s="82" t="n">
        <f aca="false">H47*AO47</f>
        <v>0</v>
      </c>
      <c r="BI47" s="82" t="n">
        <f aca="false">H47*AP47</f>
        <v>0</v>
      </c>
      <c r="BJ47" s="82" t="n">
        <f aca="false">H47*I47</f>
        <v>0</v>
      </c>
      <c r="BK47" s="82"/>
      <c r="BL47" s="82" t="n">
        <v>722</v>
      </c>
    </row>
    <row r="48" customFormat="false" ht="15" hidden="false" customHeight="true" outlineLevel="0" collapsed="false">
      <c r="A48" s="78" t="s">
        <v>213</v>
      </c>
      <c r="B48" s="14" t="s">
        <v>214</v>
      </c>
      <c r="C48" s="14" t="s">
        <v>215</v>
      </c>
      <c r="D48" s="14"/>
      <c r="E48" s="14"/>
      <c r="F48" s="14"/>
      <c r="G48" s="14" t="s">
        <v>111</v>
      </c>
      <c r="H48" s="79" t="n">
        <v>3</v>
      </c>
      <c r="I48" s="80" t="n">
        <v>0</v>
      </c>
      <c r="J48" s="79" t="n">
        <f aca="false">H48*AO48</f>
        <v>0</v>
      </c>
      <c r="K48" s="79" t="n">
        <f aca="false">H48*AP48</f>
        <v>0</v>
      </c>
      <c r="L48" s="79" t="n">
        <f aca="false">H48*I48</f>
        <v>0</v>
      </c>
      <c r="M48" s="81" t="s">
        <v>104</v>
      </c>
      <c r="N48" s="53"/>
      <c r="O48" s="53"/>
      <c r="P48" s="53"/>
      <c r="Q48" s="53"/>
      <c r="R48" s="53"/>
      <c r="S48" s="53"/>
      <c r="T48" s="53"/>
      <c r="U48" s="53"/>
      <c r="V48" s="53"/>
      <c r="W48" s="53"/>
      <c r="X48" s="53"/>
      <c r="Y48" s="51"/>
      <c r="Z48" s="82" t="n">
        <f aca="false">IF(AQ48="5",BJ48,0)</f>
        <v>0</v>
      </c>
      <c r="AA48" s="51"/>
      <c r="AB48" s="82" t="n">
        <f aca="false">IF(AQ48="1",BH48,0)</f>
        <v>0</v>
      </c>
      <c r="AC48" s="82" t="n">
        <f aca="false">IF(AQ48="1",BI48,0)</f>
        <v>0</v>
      </c>
      <c r="AD48" s="82" t="n">
        <f aca="false">IF(AQ48="7",BH48,0)</f>
        <v>0</v>
      </c>
      <c r="AE48" s="82" t="n">
        <f aca="false">IF(AQ48="7",BI48,0)</f>
        <v>0</v>
      </c>
      <c r="AF48" s="82" t="n">
        <f aca="false">IF(AQ48="2",BH48,0)</f>
        <v>0</v>
      </c>
      <c r="AG48" s="82" t="n">
        <f aca="false">IF(AQ48="2",BI48,0)</f>
        <v>0</v>
      </c>
      <c r="AH48" s="82" t="n">
        <f aca="false">IF(AQ48="0",BJ48,0)</f>
        <v>0</v>
      </c>
      <c r="AI48" s="64" t="s">
        <v>99</v>
      </c>
      <c r="AJ48" s="82" t="n">
        <f aca="false">IF(AN48=0,L48,0)</f>
        <v>0</v>
      </c>
      <c r="AK48" s="82" t="n">
        <f aca="false">IF(AN48=15,L48,0)</f>
        <v>0</v>
      </c>
      <c r="AL48" s="82" t="n">
        <f aca="false">IF(AN48=21,L48,0)</f>
        <v>0</v>
      </c>
      <c r="AM48" s="51"/>
      <c r="AN48" s="82" t="n">
        <v>21</v>
      </c>
      <c r="AO48" s="82" t="n">
        <f aca="false">I48*0.934534709193246</f>
        <v>0</v>
      </c>
      <c r="AP48" s="82" t="n">
        <f aca="false">I48*(1-0.934534709193246)</f>
        <v>0</v>
      </c>
      <c r="AQ48" s="83" t="s">
        <v>132</v>
      </c>
      <c r="AR48" s="51"/>
      <c r="AS48" s="51"/>
      <c r="AT48" s="51"/>
      <c r="AU48" s="51"/>
      <c r="AV48" s="82" t="n">
        <f aca="false">AW48+AX48</f>
        <v>0</v>
      </c>
      <c r="AW48" s="82" t="n">
        <f aca="false">H48*AO48</f>
        <v>0</v>
      </c>
      <c r="AX48" s="82" t="n">
        <f aca="false">H48*AP48</f>
        <v>0</v>
      </c>
      <c r="AY48" s="83" t="s">
        <v>140</v>
      </c>
      <c r="AZ48" s="83" t="s">
        <v>141</v>
      </c>
      <c r="BA48" s="64" t="s">
        <v>107</v>
      </c>
      <c r="BB48" s="51"/>
      <c r="BC48" s="82" t="n">
        <f aca="false">AW48+AX48</f>
        <v>0</v>
      </c>
      <c r="BD48" s="82" t="n">
        <f aca="false">I48/(100-BE48)*100</f>
        <v>0</v>
      </c>
      <c r="BE48" s="82" t="n">
        <v>0</v>
      </c>
      <c r="BF48" s="82" t="n">
        <f aca="false">48</f>
        <v>48</v>
      </c>
      <c r="BG48" s="51"/>
      <c r="BH48" s="82" t="n">
        <f aca="false">H48*AO48</f>
        <v>0</v>
      </c>
      <c r="BI48" s="82" t="n">
        <f aca="false">H48*AP48</f>
        <v>0</v>
      </c>
      <c r="BJ48" s="82" t="n">
        <f aca="false">H48*I48</f>
        <v>0</v>
      </c>
      <c r="BK48" s="82"/>
      <c r="BL48" s="82" t="n">
        <v>722</v>
      </c>
    </row>
    <row r="49" customFormat="false" ht="15" hidden="false" customHeight="true" outlineLevel="0" collapsed="false">
      <c r="A49" s="78" t="s">
        <v>216</v>
      </c>
      <c r="B49" s="14" t="s">
        <v>217</v>
      </c>
      <c r="C49" s="14" t="s">
        <v>218</v>
      </c>
      <c r="D49" s="14"/>
      <c r="E49" s="14"/>
      <c r="F49" s="14"/>
      <c r="G49" s="14" t="s">
        <v>111</v>
      </c>
      <c r="H49" s="79" t="n">
        <v>1</v>
      </c>
      <c r="I49" s="80" t="n">
        <v>0</v>
      </c>
      <c r="J49" s="79" t="n">
        <f aca="false">H49*AO49</f>
        <v>0</v>
      </c>
      <c r="K49" s="79" t="n">
        <f aca="false">H49*AP49</f>
        <v>0</v>
      </c>
      <c r="L49" s="79" t="n">
        <f aca="false">H49*I49</f>
        <v>0</v>
      </c>
      <c r="M49" s="81" t="s">
        <v>104</v>
      </c>
      <c r="N49" s="53"/>
      <c r="O49" s="53"/>
      <c r="P49" s="53"/>
      <c r="Q49" s="53"/>
      <c r="R49" s="53"/>
      <c r="S49" s="53"/>
      <c r="T49" s="53"/>
      <c r="U49" s="53"/>
      <c r="V49" s="53"/>
      <c r="W49" s="53"/>
      <c r="X49" s="53"/>
      <c r="Y49" s="51"/>
      <c r="Z49" s="82" t="n">
        <f aca="false">IF(AQ49="5",BJ49,0)</f>
        <v>0</v>
      </c>
      <c r="AA49" s="51"/>
      <c r="AB49" s="82" t="n">
        <f aca="false">IF(AQ49="1",BH49,0)</f>
        <v>0</v>
      </c>
      <c r="AC49" s="82" t="n">
        <f aca="false">IF(AQ49="1",BI49,0)</f>
        <v>0</v>
      </c>
      <c r="AD49" s="82" t="n">
        <f aca="false">IF(AQ49="7",BH49,0)</f>
        <v>0</v>
      </c>
      <c r="AE49" s="82" t="n">
        <f aca="false">IF(AQ49="7",BI49,0)</f>
        <v>0</v>
      </c>
      <c r="AF49" s="82" t="n">
        <f aca="false">IF(AQ49="2",BH49,0)</f>
        <v>0</v>
      </c>
      <c r="AG49" s="82" t="n">
        <f aca="false">IF(AQ49="2",BI49,0)</f>
        <v>0</v>
      </c>
      <c r="AH49" s="82" t="n">
        <f aca="false">IF(AQ49="0",BJ49,0)</f>
        <v>0</v>
      </c>
      <c r="AI49" s="64" t="s">
        <v>99</v>
      </c>
      <c r="AJ49" s="82" t="n">
        <f aca="false">IF(AN49=0,L49,0)</f>
        <v>0</v>
      </c>
      <c r="AK49" s="82" t="n">
        <f aca="false">IF(AN49=15,L49,0)</f>
        <v>0</v>
      </c>
      <c r="AL49" s="82" t="n">
        <f aca="false">IF(AN49=21,L49,0)</f>
        <v>0</v>
      </c>
      <c r="AM49" s="51"/>
      <c r="AN49" s="82" t="n">
        <v>21</v>
      </c>
      <c r="AO49" s="82" t="n">
        <f aca="false">I49*0.926136191677175</f>
        <v>0</v>
      </c>
      <c r="AP49" s="82" t="n">
        <f aca="false">I49*(1-0.926136191677175)</f>
        <v>0</v>
      </c>
      <c r="AQ49" s="83" t="s">
        <v>132</v>
      </c>
      <c r="AR49" s="51"/>
      <c r="AS49" s="51"/>
      <c r="AT49" s="51"/>
      <c r="AU49" s="51"/>
      <c r="AV49" s="82" t="n">
        <f aca="false">AW49+AX49</f>
        <v>0</v>
      </c>
      <c r="AW49" s="82" t="n">
        <f aca="false">H49*AO49</f>
        <v>0</v>
      </c>
      <c r="AX49" s="82" t="n">
        <f aca="false">H49*AP49</f>
        <v>0</v>
      </c>
      <c r="AY49" s="83" t="s">
        <v>140</v>
      </c>
      <c r="AZ49" s="83" t="s">
        <v>141</v>
      </c>
      <c r="BA49" s="64" t="s">
        <v>107</v>
      </c>
      <c r="BB49" s="51"/>
      <c r="BC49" s="82" t="n">
        <f aca="false">AW49+AX49</f>
        <v>0</v>
      </c>
      <c r="BD49" s="82" t="n">
        <f aca="false">I49/(100-BE49)*100</f>
        <v>0</v>
      </c>
      <c r="BE49" s="82" t="n">
        <v>0</v>
      </c>
      <c r="BF49" s="82" t="n">
        <f aca="false">49</f>
        <v>49</v>
      </c>
      <c r="BG49" s="51"/>
      <c r="BH49" s="82" t="n">
        <f aca="false">H49*AO49</f>
        <v>0</v>
      </c>
      <c r="BI49" s="82" t="n">
        <f aca="false">H49*AP49</f>
        <v>0</v>
      </c>
      <c r="BJ49" s="82" t="n">
        <f aca="false">H49*I49</f>
        <v>0</v>
      </c>
      <c r="BK49" s="82"/>
      <c r="BL49" s="82" t="n">
        <v>722</v>
      </c>
    </row>
    <row r="50" customFormat="false" ht="15" hidden="false" customHeight="true" outlineLevel="0" collapsed="false">
      <c r="A50" s="78" t="s">
        <v>219</v>
      </c>
      <c r="B50" s="14" t="s">
        <v>220</v>
      </c>
      <c r="C50" s="14" t="s">
        <v>221</v>
      </c>
      <c r="D50" s="14"/>
      <c r="E50" s="14"/>
      <c r="F50" s="14"/>
      <c r="G50" s="14" t="s">
        <v>111</v>
      </c>
      <c r="H50" s="79" t="n">
        <v>3</v>
      </c>
      <c r="I50" s="80" t="n">
        <v>0</v>
      </c>
      <c r="J50" s="79" t="n">
        <f aca="false">H50*AO50</f>
        <v>0</v>
      </c>
      <c r="K50" s="79" t="n">
        <f aca="false">H50*AP50</f>
        <v>0</v>
      </c>
      <c r="L50" s="79" t="n">
        <f aca="false">H50*I50</f>
        <v>0</v>
      </c>
      <c r="M50" s="81" t="s">
        <v>104</v>
      </c>
      <c r="N50" s="53"/>
      <c r="O50" s="53"/>
      <c r="P50" s="53"/>
      <c r="Q50" s="53"/>
      <c r="R50" s="53"/>
      <c r="S50" s="53"/>
      <c r="T50" s="53"/>
      <c r="U50" s="53"/>
      <c r="V50" s="53"/>
      <c r="W50" s="53"/>
      <c r="X50" s="53"/>
      <c r="Y50" s="51"/>
      <c r="Z50" s="82" t="n">
        <f aca="false">IF(AQ50="5",BJ50,0)</f>
        <v>0</v>
      </c>
      <c r="AA50" s="51"/>
      <c r="AB50" s="82" t="n">
        <f aca="false">IF(AQ50="1",BH50,0)</f>
        <v>0</v>
      </c>
      <c r="AC50" s="82" t="n">
        <f aca="false">IF(AQ50="1",BI50,0)</f>
        <v>0</v>
      </c>
      <c r="AD50" s="82" t="n">
        <f aca="false">IF(AQ50="7",BH50,0)</f>
        <v>0</v>
      </c>
      <c r="AE50" s="82" t="n">
        <f aca="false">IF(AQ50="7",BI50,0)</f>
        <v>0</v>
      </c>
      <c r="AF50" s="82" t="n">
        <f aca="false">IF(AQ50="2",BH50,0)</f>
        <v>0</v>
      </c>
      <c r="AG50" s="82" t="n">
        <f aca="false">IF(AQ50="2",BI50,0)</f>
        <v>0</v>
      </c>
      <c r="AH50" s="82" t="n">
        <f aca="false">IF(AQ50="0",BJ50,0)</f>
        <v>0</v>
      </c>
      <c r="AI50" s="64" t="s">
        <v>99</v>
      </c>
      <c r="AJ50" s="82" t="n">
        <f aca="false">IF(AN50=0,L50,0)</f>
        <v>0</v>
      </c>
      <c r="AK50" s="82" t="n">
        <f aca="false">IF(AN50=15,L50,0)</f>
        <v>0</v>
      </c>
      <c r="AL50" s="82" t="n">
        <f aca="false">IF(AN50=21,L50,0)</f>
        <v>0</v>
      </c>
      <c r="AM50" s="51"/>
      <c r="AN50" s="82" t="n">
        <v>21</v>
      </c>
      <c r="AO50" s="82" t="n">
        <f aca="false">I50*0.875712847134341</f>
        <v>0</v>
      </c>
      <c r="AP50" s="82" t="n">
        <f aca="false">I50*(1-0.875712847134341)</f>
        <v>0</v>
      </c>
      <c r="AQ50" s="83" t="s">
        <v>132</v>
      </c>
      <c r="AR50" s="51"/>
      <c r="AS50" s="51"/>
      <c r="AT50" s="51"/>
      <c r="AU50" s="51"/>
      <c r="AV50" s="82" t="n">
        <f aca="false">AW50+AX50</f>
        <v>0</v>
      </c>
      <c r="AW50" s="82" t="n">
        <f aca="false">H50*AO50</f>
        <v>0</v>
      </c>
      <c r="AX50" s="82" t="n">
        <f aca="false">H50*AP50</f>
        <v>0</v>
      </c>
      <c r="AY50" s="83" t="s">
        <v>140</v>
      </c>
      <c r="AZ50" s="83" t="s">
        <v>141</v>
      </c>
      <c r="BA50" s="64" t="s">
        <v>107</v>
      </c>
      <c r="BB50" s="51"/>
      <c r="BC50" s="82" t="n">
        <f aca="false">AW50+AX50</f>
        <v>0</v>
      </c>
      <c r="BD50" s="82" t="n">
        <f aca="false">I50/(100-BE50)*100</f>
        <v>0</v>
      </c>
      <c r="BE50" s="82" t="n">
        <v>0</v>
      </c>
      <c r="BF50" s="82" t="n">
        <f aca="false">50</f>
        <v>50</v>
      </c>
      <c r="BG50" s="51"/>
      <c r="BH50" s="82" t="n">
        <f aca="false">H50*AO50</f>
        <v>0</v>
      </c>
      <c r="BI50" s="82" t="n">
        <f aca="false">H50*AP50</f>
        <v>0</v>
      </c>
      <c r="BJ50" s="82" t="n">
        <f aca="false">H50*I50</f>
        <v>0</v>
      </c>
      <c r="BK50" s="82"/>
      <c r="BL50" s="82" t="n">
        <v>722</v>
      </c>
    </row>
    <row r="51" customFormat="false" ht="15" hidden="false" customHeight="true" outlineLevel="0" collapsed="false">
      <c r="A51" s="78" t="s">
        <v>97</v>
      </c>
      <c r="B51" s="14" t="s">
        <v>222</v>
      </c>
      <c r="C51" s="14" t="s">
        <v>223</v>
      </c>
      <c r="D51" s="14"/>
      <c r="E51" s="14"/>
      <c r="F51" s="14"/>
      <c r="G51" s="14" t="s">
        <v>111</v>
      </c>
      <c r="H51" s="79" t="n">
        <v>1</v>
      </c>
      <c r="I51" s="80" t="n">
        <v>0</v>
      </c>
      <c r="J51" s="79" t="n">
        <f aca="false">H51*AO51</f>
        <v>0</v>
      </c>
      <c r="K51" s="79" t="n">
        <f aca="false">H51*AP51</f>
        <v>0</v>
      </c>
      <c r="L51" s="79" t="n">
        <f aca="false">H51*I51</f>
        <v>0</v>
      </c>
      <c r="M51" s="81" t="s">
        <v>104</v>
      </c>
      <c r="N51" s="53"/>
      <c r="O51" s="53"/>
      <c r="P51" s="53"/>
      <c r="Q51" s="53"/>
      <c r="R51" s="53"/>
      <c r="S51" s="53"/>
      <c r="T51" s="53"/>
      <c r="U51" s="53"/>
      <c r="V51" s="53"/>
      <c r="W51" s="53"/>
      <c r="X51" s="53"/>
      <c r="Y51" s="51"/>
      <c r="Z51" s="82" t="n">
        <f aca="false">IF(AQ51="5",BJ51,0)</f>
        <v>0</v>
      </c>
      <c r="AA51" s="51"/>
      <c r="AB51" s="82" t="n">
        <f aca="false">IF(AQ51="1",BH51,0)</f>
        <v>0</v>
      </c>
      <c r="AC51" s="82" t="n">
        <f aca="false">IF(AQ51="1",BI51,0)</f>
        <v>0</v>
      </c>
      <c r="AD51" s="82" t="n">
        <f aca="false">IF(AQ51="7",BH51,0)</f>
        <v>0</v>
      </c>
      <c r="AE51" s="82" t="n">
        <f aca="false">IF(AQ51="7",BI51,0)</f>
        <v>0</v>
      </c>
      <c r="AF51" s="82" t="n">
        <f aca="false">IF(AQ51="2",BH51,0)</f>
        <v>0</v>
      </c>
      <c r="AG51" s="82" t="n">
        <f aca="false">IF(AQ51="2",BI51,0)</f>
        <v>0</v>
      </c>
      <c r="AH51" s="82" t="n">
        <f aca="false">IF(AQ51="0",BJ51,0)</f>
        <v>0</v>
      </c>
      <c r="AI51" s="64" t="s">
        <v>99</v>
      </c>
      <c r="AJ51" s="82" t="n">
        <f aca="false">IF(AN51=0,L51,0)</f>
        <v>0</v>
      </c>
      <c r="AK51" s="82" t="n">
        <f aca="false">IF(AN51=15,L51,0)</f>
        <v>0</v>
      </c>
      <c r="AL51" s="82" t="n">
        <f aca="false">IF(AN51=21,L51,0)</f>
        <v>0</v>
      </c>
      <c r="AM51" s="51"/>
      <c r="AN51" s="82" t="n">
        <v>21</v>
      </c>
      <c r="AO51" s="82" t="n">
        <f aca="false">I51*0.91315</f>
        <v>0</v>
      </c>
      <c r="AP51" s="82" t="n">
        <f aca="false">I51*(1-0.91315)</f>
        <v>0</v>
      </c>
      <c r="AQ51" s="83" t="s">
        <v>132</v>
      </c>
      <c r="AR51" s="51"/>
      <c r="AS51" s="51"/>
      <c r="AT51" s="51"/>
      <c r="AU51" s="51"/>
      <c r="AV51" s="82" t="n">
        <f aca="false">AW51+AX51</f>
        <v>0</v>
      </c>
      <c r="AW51" s="82" t="n">
        <f aca="false">H51*AO51</f>
        <v>0</v>
      </c>
      <c r="AX51" s="82" t="n">
        <f aca="false">H51*AP51</f>
        <v>0</v>
      </c>
      <c r="AY51" s="83" t="s">
        <v>140</v>
      </c>
      <c r="AZ51" s="83" t="s">
        <v>141</v>
      </c>
      <c r="BA51" s="64" t="s">
        <v>107</v>
      </c>
      <c r="BB51" s="51"/>
      <c r="BC51" s="82" t="n">
        <f aca="false">AW51+AX51</f>
        <v>0</v>
      </c>
      <c r="BD51" s="82" t="n">
        <f aca="false">I51/(100-BE51)*100</f>
        <v>0</v>
      </c>
      <c r="BE51" s="82" t="n">
        <v>0</v>
      </c>
      <c r="BF51" s="82" t="n">
        <f aca="false">51</f>
        <v>51</v>
      </c>
      <c r="BG51" s="51"/>
      <c r="BH51" s="82" t="n">
        <f aca="false">H51*AO51</f>
        <v>0</v>
      </c>
      <c r="BI51" s="82" t="n">
        <f aca="false">H51*AP51</f>
        <v>0</v>
      </c>
      <c r="BJ51" s="82" t="n">
        <f aca="false">H51*I51</f>
        <v>0</v>
      </c>
      <c r="BK51" s="82"/>
      <c r="BL51" s="82" t="n">
        <v>722</v>
      </c>
    </row>
    <row r="52" customFormat="false" ht="15" hidden="false" customHeight="true" outlineLevel="0" collapsed="false">
      <c r="A52" s="78" t="s">
        <v>224</v>
      </c>
      <c r="B52" s="14" t="s">
        <v>225</v>
      </c>
      <c r="C52" s="14" t="s">
        <v>226</v>
      </c>
      <c r="D52" s="14"/>
      <c r="E52" s="14"/>
      <c r="F52" s="14"/>
      <c r="G52" s="14" t="s">
        <v>111</v>
      </c>
      <c r="H52" s="79" t="n">
        <v>1</v>
      </c>
      <c r="I52" s="80" t="n">
        <v>0</v>
      </c>
      <c r="J52" s="79" t="n">
        <f aca="false">H52*AO52</f>
        <v>0</v>
      </c>
      <c r="K52" s="79" t="n">
        <f aca="false">H52*AP52</f>
        <v>0</v>
      </c>
      <c r="L52" s="79" t="n">
        <f aca="false">H52*I52</f>
        <v>0</v>
      </c>
      <c r="M52" s="81" t="s">
        <v>104</v>
      </c>
      <c r="N52" s="53"/>
      <c r="O52" s="53"/>
      <c r="P52" s="53"/>
      <c r="Q52" s="53"/>
      <c r="R52" s="53"/>
      <c r="S52" s="53"/>
      <c r="T52" s="53"/>
      <c r="U52" s="53"/>
      <c r="V52" s="53"/>
      <c r="W52" s="53"/>
      <c r="X52" s="53"/>
      <c r="Y52" s="51"/>
      <c r="Z52" s="82" t="n">
        <f aca="false">IF(AQ52="5",BJ52,0)</f>
        <v>0</v>
      </c>
      <c r="AA52" s="51"/>
      <c r="AB52" s="82" t="n">
        <f aca="false">IF(AQ52="1",BH52,0)</f>
        <v>0</v>
      </c>
      <c r="AC52" s="82" t="n">
        <f aca="false">IF(AQ52="1",BI52,0)</f>
        <v>0</v>
      </c>
      <c r="AD52" s="82" t="n">
        <f aca="false">IF(AQ52="7",BH52,0)</f>
        <v>0</v>
      </c>
      <c r="AE52" s="82" t="n">
        <f aca="false">IF(AQ52="7",BI52,0)</f>
        <v>0</v>
      </c>
      <c r="AF52" s="82" t="n">
        <f aca="false">IF(AQ52="2",BH52,0)</f>
        <v>0</v>
      </c>
      <c r="AG52" s="82" t="n">
        <f aca="false">IF(AQ52="2",BI52,0)</f>
        <v>0</v>
      </c>
      <c r="AH52" s="82" t="n">
        <f aca="false">IF(AQ52="0",BJ52,0)</f>
        <v>0</v>
      </c>
      <c r="AI52" s="64" t="s">
        <v>99</v>
      </c>
      <c r="AJ52" s="82" t="n">
        <f aca="false">IF(AN52=0,L52,0)</f>
        <v>0</v>
      </c>
      <c r="AK52" s="82" t="n">
        <f aca="false">IF(AN52=15,L52,0)</f>
        <v>0</v>
      </c>
      <c r="AL52" s="82" t="n">
        <f aca="false">IF(AN52=21,L52,0)</f>
        <v>0</v>
      </c>
      <c r="AM52" s="51"/>
      <c r="AN52" s="82" t="n">
        <v>21</v>
      </c>
      <c r="AO52" s="82" t="n">
        <f aca="false">I52*0.876686315789474</f>
        <v>0</v>
      </c>
      <c r="AP52" s="82" t="n">
        <f aca="false">I52*(1-0.876686315789474)</f>
        <v>0</v>
      </c>
      <c r="AQ52" s="83" t="s">
        <v>132</v>
      </c>
      <c r="AR52" s="51"/>
      <c r="AS52" s="51"/>
      <c r="AT52" s="51"/>
      <c r="AU52" s="51"/>
      <c r="AV52" s="82" t="n">
        <f aca="false">AW52+AX52</f>
        <v>0</v>
      </c>
      <c r="AW52" s="82" t="n">
        <f aca="false">H52*AO52</f>
        <v>0</v>
      </c>
      <c r="AX52" s="82" t="n">
        <f aca="false">H52*AP52</f>
        <v>0</v>
      </c>
      <c r="AY52" s="83" t="s">
        <v>140</v>
      </c>
      <c r="AZ52" s="83" t="s">
        <v>141</v>
      </c>
      <c r="BA52" s="64" t="s">
        <v>107</v>
      </c>
      <c r="BB52" s="51"/>
      <c r="BC52" s="82" t="n">
        <f aca="false">AW52+AX52</f>
        <v>0</v>
      </c>
      <c r="BD52" s="82" t="n">
        <f aca="false">I52/(100-BE52)*100</f>
        <v>0</v>
      </c>
      <c r="BE52" s="82" t="n">
        <v>0</v>
      </c>
      <c r="BF52" s="82" t="n">
        <f aca="false">52</f>
        <v>52</v>
      </c>
      <c r="BG52" s="51"/>
      <c r="BH52" s="82" t="n">
        <f aca="false">H52*AO52</f>
        <v>0</v>
      </c>
      <c r="BI52" s="82" t="n">
        <f aca="false">H52*AP52</f>
        <v>0</v>
      </c>
      <c r="BJ52" s="82" t="n">
        <f aca="false">H52*I52</f>
        <v>0</v>
      </c>
      <c r="BK52" s="82"/>
      <c r="BL52" s="82" t="n">
        <v>722</v>
      </c>
    </row>
    <row r="53" customFormat="false" ht="15" hidden="false" customHeight="true" outlineLevel="0" collapsed="false">
      <c r="A53" s="78" t="s">
        <v>227</v>
      </c>
      <c r="B53" s="14" t="s">
        <v>228</v>
      </c>
      <c r="C53" s="14" t="s">
        <v>229</v>
      </c>
      <c r="D53" s="14"/>
      <c r="E53" s="14"/>
      <c r="F53" s="14"/>
      <c r="G53" s="14" t="s">
        <v>111</v>
      </c>
      <c r="H53" s="79" t="n">
        <v>2</v>
      </c>
      <c r="I53" s="80" t="n">
        <v>0</v>
      </c>
      <c r="J53" s="79" t="n">
        <f aca="false">H53*AO53</f>
        <v>0</v>
      </c>
      <c r="K53" s="79" t="n">
        <f aca="false">H53*AP53</f>
        <v>0</v>
      </c>
      <c r="L53" s="79" t="n">
        <f aca="false">H53*I53</f>
        <v>0</v>
      </c>
      <c r="M53" s="81" t="s">
        <v>104</v>
      </c>
      <c r="N53" s="53"/>
      <c r="O53" s="53"/>
      <c r="P53" s="53"/>
      <c r="Q53" s="53"/>
      <c r="R53" s="53"/>
      <c r="S53" s="53"/>
      <c r="T53" s="53"/>
      <c r="U53" s="53"/>
      <c r="V53" s="53"/>
      <c r="W53" s="53"/>
      <c r="X53" s="53"/>
      <c r="Y53" s="51"/>
      <c r="Z53" s="82" t="n">
        <f aca="false">IF(AQ53="5",BJ53,0)</f>
        <v>0</v>
      </c>
      <c r="AA53" s="51"/>
      <c r="AB53" s="82" t="n">
        <f aca="false">IF(AQ53="1",BH53,0)</f>
        <v>0</v>
      </c>
      <c r="AC53" s="82" t="n">
        <f aca="false">IF(AQ53="1",BI53,0)</f>
        <v>0</v>
      </c>
      <c r="AD53" s="82" t="n">
        <f aca="false">IF(AQ53="7",BH53,0)</f>
        <v>0</v>
      </c>
      <c r="AE53" s="82" t="n">
        <f aca="false">IF(AQ53="7",BI53,0)</f>
        <v>0</v>
      </c>
      <c r="AF53" s="82" t="n">
        <f aca="false">IF(AQ53="2",BH53,0)</f>
        <v>0</v>
      </c>
      <c r="AG53" s="82" t="n">
        <f aca="false">IF(AQ53="2",BI53,0)</f>
        <v>0</v>
      </c>
      <c r="AH53" s="82" t="n">
        <f aca="false">IF(AQ53="0",BJ53,0)</f>
        <v>0</v>
      </c>
      <c r="AI53" s="64" t="s">
        <v>99</v>
      </c>
      <c r="AJ53" s="82" t="n">
        <f aca="false">IF(AN53=0,L53,0)</f>
        <v>0</v>
      </c>
      <c r="AK53" s="82" t="n">
        <f aca="false">IF(AN53=15,L53,0)</f>
        <v>0</v>
      </c>
      <c r="AL53" s="82" t="n">
        <f aca="false">IF(AN53=21,L53,0)</f>
        <v>0</v>
      </c>
      <c r="AM53" s="51"/>
      <c r="AN53" s="82" t="n">
        <v>21</v>
      </c>
      <c r="AO53" s="82" t="n">
        <f aca="false">I53*0.863834004920383</f>
        <v>0</v>
      </c>
      <c r="AP53" s="82" t="n">
        <f aca="false">I53*(1-0.863834004920383)</f>
        <v>0</v>
      </c>
      <c r="AQ53" s="83" t="s">
        <v>132</v>
      </c>
      <c r="AR53" s="51"/>
      <c r="AS53" s="51"/>
      <c r="AT53" s="51"/>
      <c r="AU53" s="51"/>
      <c r="AV53" s="82" t="n">
        <f aca="false">AW53+AX53</f>
        <v>0</v>
      </c>
      <c r="AW53" s="82" t="n">
        <f aca="false">H53*AO53</f>
        <v>0</v>
      </c>
      <c r="AX53" s="82" t="n">
        <f aca="false">H53*AP53</f>
        <v>0</v>
      </c>
      <c r="AY53" s="83" t="s">
        <v>140</v>
      </c>
      <c r="AZ53" s="83" t="s">
        <v>141</v>
      </c>
      <c r="BA53" s="64" t="s">
        <v>107</v>
      </c>
      <c r="BB53" s="51"/>
      <c r="BC53" s="82" t="n">
        <f aca="false">AW53+AX53</f>
        <v>0</v>
      </c>
      <c r="BD53" s="82" t="n">
        <f aca="false">I53/(100-BE53)*100</f>
        <v>0</v>
      </c>
      <c r="BE53" s="82" t="n">
        <v>0</v>
      </c>
      <c r="BF53" s="82" t="n">
        <f aca="false">53</f>
        <v>53</v>
      </c>
      <c r="BG53" s="51"/>
      <c r="BH53" s="82" t="n">
        <f aca="false">H53*AO53</f>
        <v>0</v>
      </c>
      <c r="BI53" s="82" t="n">
        <f aca="false">H53*AP53</f>
        <v>0</v>
      </c>
      <c r="BJ53" s="82" t="n">
        <f aca="false">H53*I53</f>
        <v>0</v>
      </c>
      <c r="BK53" s="82"/>
      <c r="BL53" s="82" t="n">
        <v>722</v>
      </c>
    </row>
    <row r="54" customFormat="false" ht="15" hidden="false" customHeight="true" outlineLevel="0" collapsed="false">
      <c r="A54" s="78" t="s">
        <v>230</v>
      </c>
      <c r="B54" s="14" t="s">
        <v>231</v>
      </c>
      <c r="C54" s="14" t="s">
        <v>232</v>
      </c>
      <c r="D54" s="14"/>
      <c r="E54" s="14"/>
      <c r="F54" s="14"/>
      <c r="G54" s="14" t="s">
        <v>111</v>
      </c>
      <c r="H54" s="79" t="n">
        <v>1</v>
      </c>
      <c r="I54" s="80" t="n">
        <v>0</v>
      </c>
      <c r="J54" s="79" t="n">
        <f aca="false">H54*AO54</f>
        <v>0</v>
      </c>
      <c r="K54" s="79" t="n">
        <f aca="false">H54*AP54</f>
        <v>0</v>
      </c>
      <c r="L54" s="79" t="n">
        <f aca="false">H54*I54</f>
        <v>0</v>
      </c>
      <c r="M54" s="81" t="s">
        <v>104</v>
      </c>
      <c r="N54" s="53"/>
      <c r="O54" s="53"/>
      <c r="P54" s="53"/>
      <c r="Q54" s="53"/>
      <c r="R54" s="53"/>
      <c r="S54" s="53"/>
      <c r="T54" s="53"/>
      <c r="U54" s="53"/>
      <c r="V54" s="53"/>
      <c r="W54" s="53"/>
      <c r="X54" s="53"/>
      <c r="Y54" s="51"/>
      <c r="Z54" s="82" t="n">
        <f aca="false">IF(AQ54="5",BJ54,0)</f>
        <v>0</v>
      </c>
      <c r="AA54" s="51"/>
      <c r="AB54" s="82" t="n">
        <f aca="false">IF(AQ54="1",BH54,0)</f>
        <v>0</v>
      </c>
      <c r="AC54" s="82" t="n">
        <f aca="false">IF(AQ54="1",BI54,0)</f>
        <v>0</v>
      </c>
      <c r="AD54" s="82" t="n">
        <f aca="false">IF(AQ54="7",BH54,0)</f>
        <v>0</v>
      </c>
      <c r="AE54" s="82" t="n">
        <f aca="false">IF(AQ54="7",BI54,0)</f>
        <v>0</v>
      </c>
      <c r="AF54" s="82" t="n">
        <f aca="false">IF(AQ54="2",BH54,0)</f>
        <v>0</v>
      </c>
      <c r="AG54" s="82" t="n">
        <f aca="false">IF(AQ54="2",BI54,0)</f>
        <v>0</v>
      </c>
      <c r="AH54" s="82" t="n">
        <f aca="false">IF(AQ54="0",BJ54,0)</f>
        <v>0</v>
      </c>
      <c r="AI54" s="64" t="s">
        <v>99</v>
      </c>
      <c r="AJ54" s="82" t="n">
        <f aca="false">IF(AN54=0,L54,0)</f>
        <v>0</v>
      </c>
      <c r="AK54" s="82" t="n">
        <f aca="false">IF(AN54=15,L54,0)</f>
        <v>0</v>
      </c>
      <c r="AL54" s="82" t="n">
        <f aca="false">IF(AN54=21,L54,0)</f>
        <v>0</v>
      </c>
      <c r="AM54" s="51"/>
      <c r="AN54" s="82" t="n">
        <v>21</v>
      </c>
      <c r="AO54" s="82" t="n">
        <f aca="false">I54*0.842611202635914</f>
        <v>0</v>
      </c>
      <c r="AP54" s="82" t="n">
        <f aca="false">I54*(1-0.842611202635914)</f>
        <v>0</v>
      </c>
      <c r="AQ54" s="83" t="s">
        <v>132</v>
      </c>
      <c r="AR54" s="51"/>
      <c r="AS54" s="51"/>
      <c r="AT54" s="51"/>
      <c r="AU54" s="51"/>
      <c r="AV54" s="82" t="n">
        <f aca="false">AW54+AX54</f>
        <v>0</v>
      </c>
      <c r="AW54" s="82" t="n">
        <f aca="false">H54*AO54</f>
        <v>0</v>
      </c>
      <c r="AX54" s="82" t="n">
        <f aca="false">H54*AP54</f>
        <v>0</v>
      </c>
      <c r="AY54" s="83" t="s">
        <v>140</v>
      </c>
      <c r="AZ54" s="83" t="s">
        <v>141</v>
      </c>
      <c r="BA54" s="64" t="s">
        <v>107</v>
      </c>
      <c r="BB54" s="51"/>
      <c r="BC54" s="82" t="n">
        <f aca="false">AW54+AX54</f>
        <v>0</v>
      </c>
      <c r="BD54" s="82" t="n">
        <f aca="false">I54/(100-BE54)*100</f>
        <v>0</v>
      </c>
      <c r="BE54" s="82" t="n">
        <v>0</v>
      </c>
      <c r="BF54" s="82" t="n">
        <f aca="false">54</f>
        <v>54</v>
      </c>
      <c r="BG54" s="51"/>
      <c r="BH54" s="82" t="n">
        <f aca="false">H54*AO54</f>
        <v>0</v>
      </c>
      <c r="BI54" s="82" t="n">
        <f aca="false">H54*AP54</f>
        <v>0</v>
      </c>
      <c r="BJ54" s="82" t="n">
        <f aca="false">H54*I54</f>
        <v>0</v>
      </c>
      <c r="BK54" s="82"/>
      <c r="BL54" s="82" t="n">
        <v>722</v>
      </c>
    </row>
    <row r="55" customFormat="false" ht="15" hidden="false" customHeight="true" outlineLevel="0" collapsed="false">
      <c r="A55" s="78" t="s">
        <v>233</v>
      </c>
      <c r="B55" s="14" t="s">
        <v>234</v>
      </c>
      <c r="C55" s="14" t="s">
        <v>235</v>
      </c>
      <c r="D55" s="14"/>
      <c r="E55" s="14"/>
      <c r="F55" s="14"/>
      <c r="G55" s="14" t="s">
        <v>111</v>
      </c>
      <c r="H55" s="79" t="n">
        <v>3</v>
      </c>
      <c r="I55" s="80" t="n">
        <v>0</v>
      </c>
      <c r="J55" s="79" t="n">
        <f aca="false">H55*AO55</f>
        <v>0</v>
      </c>
      <c r="K55" s="79" t="n">
        <f aca="false">H55*AP55</f>
        <v>0</v>
      </c>
      <c r="L55" s="79" t="n">
        <f aca="false">H55*I55</f>
        <v>0</v>
      </c>
      <c r="M55" s="81" t="s">
        <v>104</v>
      </c>
      <c r="N55" s="53"/>
      <c r="O55" s="53"/>
      <c r="P55" s="53"/>
      <c r="Q55" s="53"/>
      <c r="R55" s="53"/>
      <c r="S55" s="53"/>
      <c r="T55" s="53"/>
      <c r="U55" s="53"/>
      <c r="V55" s="53"/>
      <c r="W55" s="53"/>
      <c r="X55" s="53"/>
      <c r="Y55" s="51"/>
      <c r="Z55" s="82" t="n">
        <f aca="false">IF(AQ55="5",BJ55,0)</f>
        <v>0</v>
      </c>
      <c r="AA55" s="51"/>
      <c r="AB55" s="82" t="n">
        <f aca="false">IF(AQ55="1",BH55,0)</f>
        <v>0</v>
      </c>
      <c r="AC55" s="82" t="n">
        <f aca="false">IF(AQ55="1",BI55,0)</f>
        <v>0</v>
      </c>
      <c r="AD55" s="82" t="n">
        <f aca="false">IF(AQ55="7",BH55,0)</f>
        <v>0</v>
      </c>
      <c r="AE55" s="82" t="n">
        <f aca="false">IF(AQ55="7",BI55,0)</f>
        <v>0</v>
      </c>
      <c r="AF55" s="82" t="n">
        <f aca="false">IF(AQ55="2",BH55,0)</f>
        <v>0</v>
      </c>
      <c r="AG55" s="82" t="n">
        <f aca="false">IF(AQ55="2",BI55,0)</f>
        <v>0</v>
      </c>
      <c r="AH55" s="82" t="n">
        <f aca="false">IF(AQ55="0",BJ55,0)</f>
        <v>0</v>
      </c>
      <c r="AI55" s="64" t="s">
        <v>99</v>
      </c>
      <c r="AJ55" s="82" t="n">
        <f aca="false">IF(AN55=0,L55,0)</f>
        <v>0</v>
      </c>
      <c r="AK55" s="82" t="n">
        <f aca="false">IF(AN55=15,L55,0)</f>
        <v>0</v>
      </c>
      <c r="AL55" s="82" t="n">
        <f aca="false">IF(AN55=21,L55,0)</f>
        <v>0</v>
      </c>
      <c r="AM55" s="51"/>
      <c r="AN55" s="82" t="n">
        <v>21</v>
      </c>
      <c r="AO55" s="82" t="n">
        <f aca="false">I55*0.932406561697194</f>
        <v>0</v>
      </c>
      <c r="AP55" s="82" t="n">
        <f aca="false">I55*(1-0.932406561697194)</f>
        <v>0</v>
      </c>
      <c r="AQ55" s="83" t="s">
        <v>132</v>
      </c>
      <c r="AR55" s="51"/>
      <c r="AS55" s="51"/>
      <c r="AT55" s="51"/>
      <c r="AU55" s="51"/>
      <c r="AV55" s="82" t="n">
        <f aca="false">AW55+AX55</f>
        <v>0</v>
      </c>
      <c r="AW55" s="82" t="n">
        <f aca="false">H55*AO55</f>
        <v>0</v>
      </c>
      <c r="AX55" s="82" t="n">
        <f aca="false">H55*AP55</f>
        <v>0</v>
      </c>
      <c r="AY55" s="83" t="s">
        <v>140</v>
      </c>
      <c r="AZ55" s="83" t="s">
        <v>141</v>
      </c>
      <c r="BA55" s="64" t="s">
        <v>107</v>
      </c>
      <c r="BB55" s="51"/>
      <c r="BC55" s="82" t="n">
        <f aca="false">AW55+AX55</f>
        <v>0</v>
      </c>
      <c r="BD55" s="82" t="n">
        <f aca="false">I55/(100-BE55)*100</f>
        <v>0</v>
      </c>
      <c r="BE55" s="82" t="n">
        <v>0</v>
      </c>
      <c r="BF55" s="82" t="n">
        <f aca="false">55</f>
        <v>55</v>
      </c>
      <c r="BG55" s="51"/>
      <c r="BH55" s="82" t="n">
        <f aca="false">H55*AO55</f>
        <v>0</v>
      </c>
      <c r="BI55" s="82" t="n">
        <f aca="false">H55*AP55</f>
        <v>0</v>
      </c>
      <c r="BJ55" s="82" t="n">
        <f aca="false">H55*I55</f>
        <v>0</v>
      </c>
      <c r="BK55" s="82"/>
      <c r="BL55" s="82" t="n">
        <v>722</v>
      </c>
    </row>
    <row r="56" customFormat="false" ht="15" hidden="false" customHeight="true" outlineLevel="0" collapsed="false">
      <c r="A56" s="78" t="s">
        <v>236</v>
      </c>
      <c r="B56" s="14" t="s">
        <v>237</v>
      </c>
      <c r="C56" s="14" t="s">
        <v>238</v>
      </c>
      <c r="D56" s="14"/>
      <c r="E56" s="14"/>
      <c r="F56" s="14"/>
      <c r="G56" s="14" t="s">
        <v>111</v>
      </c>
      <c r="H56" s="79" t="n">
        <v>1</v>
      </c>
      <c r="I56" s="80" t="n">
        <v>0</v>
      </c>
      <c r="J56" s="79" t="n">
        <f aca="false">H56*AO56</f>
        <v>0</v>
      </c>
      <c r="K56" s="79" t="n">
        <f aca="false">H56*AP56</f>
        <v>0</v>
      </c>
      <c r="L56" s="79" t="n">
        <f aca="false">H56*I56</f>
        <v>0</v>
      </c>
      <c r="M56" s="81" t="s">
        <v>104</v>
      </c>
      <c r="N56" s="53"/>
      <c r="O56" s="53"/>
      <c r="P56" s="53"/>
      <c r="Q56" s="53"/>
      <c r="R56" s="53"/>
      <c r="S56" s="53"/>
      <c r="T56" s="53"/>
      <c r="U56" s="53"/>
      <c r="V56" s="53"/>
      <c r="W56" s="53"/>
      <c r="X56" s="53"/>
      <c r="Y56" s="51"/>
      <c r="Z56" s="82" t="n">
        <f aca="false">IF(AQ56="5",BJ56,0)</f>
        <v>0</v>
      </c>
      <c r="AA56" s="51"/>
      <c r="AB56" s="82" t="n">
        <f aca="false">IF(AQ56="1",BH56,0)</f>
        <v>0</v>
      </c>
      <c r="AC56" s="82" t="n">
        <f aca="false">IF(AQ56="1",BI56,0)</f>
        <v>0</v>
      </c>
      <c r="AD56" s="82" t="n">
        <f aca="false">IF(AQ56="7",BH56,0)</f>
        <v>0</v>
      </c>
      <c r="AE56" s="82" t="n">
        <f aca="false">IF(AQ56="7",BI56,0)</f>
        <v>0</v>
      </c>
      <c r="AF56" s="82" t="n">
        <f aca="false">IF(AQ56="2",BH56,0)</f>
        <v>0</v>
      </c>
      <c r="AG56" s="82" t="n">
        <f aca="false">IF(AQ56="2",BI56,0)</f>
        <v>0</v>
      </c>
      <c r="AH56" s="82" t="n">
        <f aca="false">IF(AQ56="0",BJ56,0)</f>
        <v>0</v>
      </c>
      <c r="AI56" s="64" t="s">
        <v>99</v>
      </c>
      <c r="AJ56" s="82" t="n">
        <f aca="false">IF(AN56=0,L56,0)</f>
        <v>0</v>
      </c>
      <c r="AK56" s="82" t="n">
        <f aca="false">IF(AN56=15,L56,0)</f>
        <v>0</v>
      </c>
      <c r="AL56" s="82" t="n">
        <f aca="false">IF(AN56=21,L56,0)</f>
        <v>0</v>
      </c>
      <c r="AM56" s="51"/>
      <c r="AN56" s="82" t="n">
        <v>21</v>
      </c>
      <c r="AO56" s="82" t="n">
        <f aca="false">I56*0.915948805460751</f>
        <v>0</v>
      </c>
      <c r="AP56" s="82" t="n">
        <f aca="false">I56*(1-0.915948805460751)</f>
        <v>0</v>
      </c>
      <c r="AQ56" s="83" t="s">
        <v>132</v>
      </c>
      <c r="AR56" s="51"/>
      <c r="AS56" s="51"/>
      <c r="AT56" s="51"/>
      <c r="AU56" s="51"/>
      <c r="AV56" s="82" t="n">
        <f aca="false">AW56+AX56</f>
        <v>0</v>
      </c>
      <c r="AW56" s="82" t="n">
        <f aca="false">H56*AO56</f>
        <v>0</v>
      </c>
      <c r="AX56" s="82" t="n">
        <f aca="false">H56*AP56</f>
        <v>0</v>
      </c>
      <c r="AY56" s="83" t="s">
        <v>140</v>
      </c>
      <c r="AZ56" s="83" t="s">
        <v>141</v>
      </c>
      <c r="BA56" s="64" t="s">
        <v>107</v>
      </c>
      <c r="BB56" s="51"/>
      <c r="BC56" s="82" t="n">
        <f aca="false">AW56+AX56</f>
        <v>0</v>
      </c>
      <c r="BD56" s="82" t="n">
        <f aca="false">I56/(100-BE56)*100</f>
        <v>0</v>
      </c>
      <c r="BE56" s="82" t="n">
        <v>0</v>
      </c>
      <c r="BF56" s="82" t="n">
        <f aca="false">56</f>
        <v>56</v>
      </c>
      <c r="BG56" s="51"/>
      <c r="BH56" s="82" t="n">
        <f aca="false">H56*AO56</f>
        <v>0</v>
      </c>
      <c r="BI56" s="82" t="n">
        <f aca="false">H56*AP56</f>
        <v>0</v>
      </c>
      <c r="BJ56" s="82" t="n">
        <f aca="false">H56*I56</f>
        <v>0</v>
      </c>
      <c r="BK56" s="82"/>
      <c r="BL56" s="82" t="n">
        <v>722</v>
      </c>
    </row>
    <row r="57" customFormat="false" ht="15" hidden="false" customHeight="true" outlineLevel="0" collapsed="false">
      <c r="A57" s="78" t="s">
        <v>239</v>
      </c>
      <c r="B57" s="14" t="s">
        <v>240</v>
      </c>
      <c r="C57" s="14" t="s">
        <v>241</v>
      </c>
      <c r="D57" s="14"/>
      <c r="E57" s="14"/>
      <c r="F57" s="14"/>
      <c r="G57" s="14" t="s">
        <v>111</v>
      </c>
      <c r="H57" s="79" t="n">
        <v>3</v>
      </c>
      <c r="I57" s="80" t="n">
        <v>0</v>
      </c>
      <c r="J57" s="79" t="n">
        <f aca="false">H57*AO57</f>
        <v>0</v>
      </c>
      <c r="K57" s="79" t="n">
        <f aca="false">H57*AP57</f>
        <v>0</v>
      </c>
      <c r="L57" s="79" t="n">
        <f aca="false">H57*I57</f>
        <v>0</v>
      </c>
      <c r="M57" s="81" t="s">
        <v>104</v>
      </c>
      <c r="N57" s="53"/>
      <c r="O57" s="53"/>
      <c r="P57" s="53"/>
      <c r="Q57" s="53"/>
      <c r="R57" s="53"/>
      <c r="S57" s="53"/>
      <c r="T57" s="53"/>
      <c r="U57" s="53"/>
      <c r="V57" s="53"/>
      <c r="W57" s="53"/>
      <c r="X57" s="53"/>
      <c r="Y57" s="51"/>
      <c r="Z57" s="82" t="n">
        <f aca="false">IF(AQ57="5",BJ57,0)</f>
        <v>0</v>
      </c>
      <c r="AA57" s="51"/>
      <c r="AB57" s="82" t="n">
        <f aca="false">IF(AQ57="1",BH57,0)</f>
        <v>0</v>
      </c>
      <c r="AC57" s="82" t="n">
        <f aca="false">IF(AQ57="1",BI57,0)</f>
        <v>0</v>
      </c>
      <c r="AD57" s="82" t="n">
        <f aca="false">IF(AQ57="7",BH57,0)</f>
        <v>0</v>
      </c>
      <c r="AE57" s="82" t="n">
        <f aca="false">IF(AQ57="7",BI57,0)</f>
        <v>0</v>
      </c>
      <c r="AF57" s="82" t="n">
        <f aca="false">IF(AQ57="2",BH57,0)</f>
        <v>0</v>
      </c>
      <c r="AG57" s="82" t="n">
        <f aca="false">IF(AQ57="2",BI57,0)</f>
        <v>0</v>
      </c>
      <c r="AH57" s="82" t="n">
        <f aca="false">IF(AQ57="0",BJ57,0)</f>
        <v>0</v>
      </c>
      <c r="AI57" s="64" t="s">
        <v>99</v>
      </c>
      <c r="AJ57" s="82" t="n">
        <f aca="false">IF(AN57=0,L57,0)</f>
        <v>0</v>
      </c>
      <c r="AK57" s="82" t="n">
        <f aca="false">IF(AN57=15,L57,0)</f>
        <v>0</v>
      </c>
      <c r="AL57" s="82" t="n">
        <f aca="false">IF(AN57=21,L57,0)</f>
        <v>0</v>
      </c>
      <c r="AM57" s="51"/>
      <c r="AN57" s="82" t="n">
        <v>21</v>
      </c>
      <c r="AO57" s="82" t="n">
        <f aca="false">I57*0.90057326695338</f>
        <v>0</v>
      </c>
      <c r="AP57" s="82" t="n">
        <f aca="false">I57*(1-0.90057326695338)</f>
        <v>0</v>
      </c>
      <c r="AQ57" s="83" t="s">
        <v>132</v>
      </c>
      <c r="AR57" s="51"/>
      <c r="AS57" s="51"/>
      <c r="AT57" s="51"/>
      <c r="AU57" s="51"/>
      <c r="AV57" s="82" t="n">
        <f aca="false">AW57+AX57</f>
        <v>0</v>
      </c>
      <c r="AW57" s="82" t="n">
        <f aca="false">H57*AO57</f>
        <v>0</v>
      </c>
      <c r="AX57" s="82" t="n">
        <f aca="false">H57*AP57</f>
        <v>0</v>
      </c>
      <c r="AY57" s="83" t="s">
        <v>140</v>
      </c>
      <c r="AZ57" s="83" t="s">
        <v>141</v>
      </c>
      <c r="BA57" s="64" t="s">
        <v>107</v>
      </c>
      <c r="BB57" s="51"/>
      <c r="BC57" s="82" t="n">
        <f aca="false">AW57+AX57</f>
        <v>0</v>
      </c>
      <c r="BD57" s="82" t="n">
        <f aca="false">I57/(100-BE57)*100</f>
        <v>0</v>
      </c>
      <c r="BE57" s="82" t="n">
        <v>0</v>
      </c>
      <c r="BF57" s="82" t="n">
        <f aca="false">57</f>
        <v>57</v>
      </c>
      <c r="BG57" s="51"/>
      <c r="BH57" s="82" t="n">
        <f aca="false">H57*AO57</f>
        <v>0</v>
      </c>
      <c r="BI57" s="82" t="n">
        <f aca="false">H57*AP57</f>
        <v>0</v>
      </c>
      <c r="BJ57" s="82" t="n">
        <f aca="false">H57*I57</f>
        <v>0</v>
      </c>
      <c r="BK57" s="82"/>
      <c r="BL57" s="82" t="n">
        <v>722</v>
      </c>
    </row>
    <row r="58" customFormat="false" ht="15" hidden="false" customHeight="true" outlineLevel="0" collapsed="false">
      <c r="A58" s="78" t="s">
        <v>112</v>
      </c>
      <c r="B58" s="14" t="s">
        <v>242</v>
      </c>
      <c r="C58" s="14" t="s">
        <v>243</v>
      </c>
      <c r="D58" s="14"/>
      <c r="E58" s="14"/>
      <c r="F58" s="14"/>
      <c r="G58" s="14" t="s">
        <v>111</v>
      </c>
      <c r="H58" s="79" t="n">
        <v>1</v>
      </c>
      <c r="I58" s="80" t="n">
        <v>0</v>
      </c>
      <c r="J58" s="79" t="n">
        <f aca="false">H58*AO58</f>
        <v>0</v>
      </c>
      <c r="K58" s="79" t="n">
        <f aca="false">H58*AP58</f>
        <v>0</v>
      </c>
      <c r="L58" s="79" t="n">
        <f aca="false">H58*I58</f>
        <v>0</v>
      </c>
      <c r="M58" s="81" t="s">
        <v>104</v>
      </c>
      <c r="N58" s="53"/>
      <c r="O58" s="53"/>
      <c r="P58" s="53"/>
      <c r="Q58" s="53"/>
      <c r="R58" s="53"/>
      <c r="S58" s="53"/>
      <c r="T58" s="53"/>
      <c r="U58" s="53"/>
      <c r="V58" s="53"/>
      <c r="W58" s="53"/>
      <c r="X58" s="53"/>
      <c r="Y58" s="51"/>
      <c r="Z58" s="82" t="n">
        <f aca="false">IF(AQ58="5",BJ58,0)</f>
        <v>0</v>
      </c>
      <c r="AA58" s="51"/>
      <c r="AB58" s="82" t="n">
        <f aca="false">IF(AQ58="1",BH58,0)</f>
        <v>0</v>
      </c>
      <c r="AC58" s="82" t="n">
        <f aca="false">IF(AQ58="1",BI58,0)</f>
        <v>0</v>
      </c>
      <c r="AD58" s="82" t="n">
        <f aca="false">IF(AQ58="7",BH58,0)</f>
        <v>0</v>
      </c>
      <c r="AE58" s="82" t="n">
        <f aca="false">IF(AQ58="7",BI58,0)</f>
        <v>0</v>
      </c>
      <c r="AF58" s="82" t="n">
        <f aca="false">IF(AQ58="2",BH58,0)</f>
        <v>0</v>
      </c>
      <c r="AG58" s="82" t="n">
        <f aca="false">IF(AQ58="2",BI58,0)</f>
        <v>0</v>
      </c>
      <c r="AH58" s="82" t="n">
        <f aca="false">IF(AQ58="0",BJ58,0)</f>
        <v>0</v>
      </c>
      <c r="AI58" s="64" t="s">
        <v>99</v>
      </c>
      <c r="AJ58" s="82" t="n">
        <f aca="false">IF(AN58=0,L58,0)</f>
        <v>0</v>
      </c>
      <c r="AK58" s="82" t="n">
        <f aca="false">IF(AN58=15,L58,0)</f>
        <v>0</v>
      </c>
      <c r="AL58" s="82" t="n">
        <f aca="false">IF(AN58=21,L58,0)</f>
        <v>0</v>
      </c>
      <c r="AM58" s="51"/>
      <c r="AN58" s="82" t="n">
        <v>21</v>
      </c>
      <c r="AO58" s="82" t="n">
        <f aca="false">I58*0.771547088646489</f>
        <v>0</v>
      </c>
      <c r="AP58" s="82" t="n">
        <f aca="false">I58*(1-0.771547088646489)</f>
        <v>0</v>
      </c>
      <c r="AQ58" s="83" t="s">
        <v>132</v>
      </c>
      <c r="AR58" s="51"/>
      <c r="AS58" s="51"/>
      <c r="AT58" s="51"/>
      <c r="AU58" s="51"/>
      <c r="AV58" s="82" t="n">
        <f aca="false">AW58+AX58</f>
        <v>0</v>
      </c>
      <c r="AW58" s="82" t="n">
        <f aca="false">H58*AO58</f>
        <v>0</v>
      </c>
      <c r="AX58" s="82" t="n">
        <f aca="false">H58*AP58</f>
        <v>0</v>
      </c>
      <c r="AY58" s="83" t="s">
        <v>140</v>
      </c>
      <c r="AZ58" s="83" t="s">
        <v>141</v>
      </c>
      <c r="BA58" s="64" t="s">
        <v>107</v>
      </c>
      <c r="BB58" s="51"/>
      <c r="BC58" s="82" t="n">
        <f aca="false">AW58+AX58</f>
        <v>0</v>
      </c>
      <c r="BD58" s="82" t="n">
        <f aca="false">I58/(100-BE58)*100</f>
        <v>0</v>
      </c>
      <c r="BE58" s="82" t="n">
        <v>0</v>
      </c>
      <c r="BF58" s="82" t="n">
        <f aca="false">58</f>
        <v>58</v>
      </c>
      <c r="BG58" s="51"/>
      <c r="BH58" s="82" t="n">
        <f aca="false">H58*AO58</f>
        <v>0</v>
      </c>
      <c r="BI58" s="82" t="n">
        <f aca="false">H58*AP58</f>
        <v>0</v>
      </c>
      <c r="BJ58" s="82" t="n">
        <f aca="false">H58*I58</f>
        <v>0</v>
      </c>
      <c r="BK58" s="82"/>
      <c r="BL58" s="82" t="n">
        <v>722</v>
      </c>
    </row>
    <row r="59" customFormat="false" ht="15" hidden="false" customHeight="true" outlineLevel="0" collapsed="false">
      <c r="A59" s="78" t="s">
        <v>244</v>
      </c>
      <c r="B59" s="14" t="s">
        <v>245</v>
      </c>
      <c r="C59" s="14" t="s">
        <v>246</v>
      </c>
      <c r="D59" s="14"/>
      <c r="E59" s="14"/>
      <c r="F59" s="14"/>
      <c r="G59" s="14" t="s">
        <v>111</v>
      </c>
      <c r="H59" s="79" t="n">
        <v>21</v>
      </c>
      <c r="I59" s="80" t="n">
        <v>0</v>
      </c>
      <c r="J59" s="79" t="n">
        <f aca="false">H59*AO59</f>
        <v>0</v>
      </c>
      <c r="K59" s="79" t="n">
        <f aca="false">H59*AP59</f>
        <v>0</v>
      </c>
      <c r="L59" s="79" t="n">
        <f aca="false">H59*I59</f>
        <v>0</v>
      </c>
      <c r="M59" s="81" t="s">
        <v>104</v>
      </c>
      <c r="N59" s="53"/>
      <c r="O59" s="53"/>
      <c r="P59" s="53"/>
      <c r="Q59" s="53"/>
      <c r="R59" s="53"/>
      <c r="S59" s="53"/>
      <c r="T59" s="53"/>
      <c r="U59" s="53"/>
      <c r="V59" s="53"/>
      <c r="W59" s="53"/>
      <c r="X59" s="53"/>
      <c r="Y59" s="51"/>
      <c r="Z59" s="82" t="n">
        <f aca="false">IF(AQ59="5",BJ59,0)</f>
        <v>0</v>
      </c>
      <c r="AA59" s="51"/>
      <c r="AB59" s="82" t="n">
        <f aca="false">IF(AQ59="1",BH59,0)</f>
        <v>0</v>
      </c>
      <c r="AC59" s="82" t="n">
        <f aca="false">IF(AQ59="1",BI59,0)</f>
        <v>0</v>
      </c>
      <c r="AD59" s="82" t="n">
        <f aca="false">IF(AQ59="7",BH59,0)</f>
        <v>0</v>
      </c>
      <c r="AE59" s="82" t="n">
        <f aca="false">IF(AQ59="7",BI59,0)</f>
        <v>0</v>
      </c>
      <c r="AF59" s="82" t="n">
        <f aca="false">IF(AQ59="2",BH59,0)</f>
        <v>0</v>
      </c>
      <c r="AG59" s="82" t="n">
        <f aca="false">IF(AQ59="2",BI59,0)</f>
        <v>0</v>
      </c>
      <c r="AH59" s="82" t="n">
        <f aca="false">IF(AQ59="0",BJ59,0)</f>
        <v>0</v>
      </c>
      <c r="AI59" s="64" t="s">
        <v>99</v>
      </c>
      <c r="AJ59" s="82" t="n">
        <f aca="false">IF(AN59=0,L59,0)</f>
        <v>0</v>
      </c>
      <c r="AK59" s="82" t="n">
        <f aca="false">IF(AN59=15,L59,0)</f>
        <v>0</v>
      </c>
      <c r="AL59" s="82" t="n">
        <f aca="false">IF(AN59=21,L59,0)</f>
        <v>0</v>
      </c>
      <c r="AM59" s="51"/>
      <c r="AN59" s="82" t="n">
        <v>21</v>
      </c>
      <c r="AO59" s="82" t="n">
        <f aca="false">I59*0.267760491250212</f>
        <v>0</v>
      </c>
      <c r="AP59" s="82" t="n">
        <f aca="false">I59*(1-0.267760491250212)</f>
        <v>0</v>
      </c>
      <c r="AQ59" s="83" t="s">
        <v>132</v>
      </c>
      <c r="AR59" s="51"/>
      <c r="AS59" s="51"/>
      <c r="AT59" s="51"/>
      <c r="AU59" s="51"/>
      <c r="AV59" s="82" t="n">
        <f aca="false">AW59+AX59</f>
        <v>0</v>
      </c>
      <c r="AW59" s="82" t="n">
        <f aca="false">H59*AO59</f>
        <v>0</v>
      </c>
      <c r="AX59" s="82" t="n">
        <f aca="false">H59*AP59</f>
        <v>0</v>
      </c>
      <c r="AY59" s="83" t="s">
        <v>140</v>
      </c>
      <c r="AZ59" s="83" t="s">
        <v>141</v>
      </c>
      <c r="BA59" s="64" t="s">
        <v>107</v>
      </c>
      <c r="BB59" s="51"/>
      <c r="BC59" s="82" t="n">
        <f aca="false">AW59+AX59</f>
        <v>0</v>
      </c>
      <c r="BD59" s="82" t="n">
        <f aca="false">I59/(100-BE59)*100</f>
        <v>0</v>
      </c>
      <c r="BE59" s="82" t="n">
        <v>0</v>
      </c>
      <c r="BF59" s="82" t="n">
        <f aca="false">59</f>
        <v>59</v>
      </c>
      <c r="BG59" s="51"/>
      <c r="BH59" s="82" t="n">
        <f aca="false">H59*AO59</f>
        <v>0</v>
      </c>
      <c r="BI59" s="82" t="n">
        <f aca="false">H59*AP59</f>
        <v>0</v>
      </c>
      <c r="BJ59" s="82" t="n">
        <f aca="false">H59*I59</f>
        <v>0</v>
      </c>
      <c r="BK59" s="82"/>
      <c r="BL59" s="82" t="n">
        <v>722</v>
      </c>
    </row>
    <row r="60" customFormat="false" ht="15" hidden="false" customHeight="true" outlineLevel="0" collapsed="false">
      <c r="A60" s="78" t="s">
        <v>247</v>
      </c>
      <c r="B60" s="14" t="s">
        <v>248</v>
      </c>
      <c r="C60" s="14" t="s">
        <v>249</v>
      </c>
      <c r="D60" s="14"/>
      <c r="E60" s="14"/>
      <c r="F60" s="14"/>
      <c r="G60" s="14" t="s">
        <v>111</v>
      </c>
      <c r="H60" s="79" t="n">
        <v>28</v>
      </c>
      <c r="I60" s="80" t="n">
        <v>0</v>
      </c>
      <c r="J60" s="79" t="n">
        <f aca="false">H60*AO60</f>
        <v>0</v>
      </c>
      <c r="K60" s="79" t="n">
        <f aca="false">H60*AP60</f>
        <v>0</v>
      </c>
      <c r="L60" s="79" t="n">
        <f aca="false">H60*I60</f>
        <v>0</v>
      </c>
      <c r="M60" s="81" t="s">
        <v>104</v>
      </c>
      <c r="N60" s="53"/>
      <c r="O60" s="53"/>
      <c r="P60" s="53"/>
      <c r="Q60" s="53"/>
      <c r="R60" s="53"/>
      <c r="S60" s="53"/>
      <c r="T60" s="53"/>
      <c r="U60" s="53"/>
      <c r="V60" s="53"/>
      <c r="W60" s="53"/>
      <c r="X60" s="53"/>
      <c r="Y60" s="51"/>
      <c r="Z60" s="82" t="n">
        <f aca="false">IF(AQ60="5",BJ60,0)</f>
        <v>0</v>
      </c>
      <c r="AA60" s="51"/>
      <c r="AB60" s="82" t="n">
        <f aca="false">IF(AQ60="1",BH60,0)</f>
        <v>0</v>
      </c>
      <c r="AC60" s="82" t="n">
        <f aca="false">IF(AQ60="1",BI60,0)</f>
        <v>0</v>
      </c>
      <c r="AD60" s="82" t="n">
        <f aca="false">IF(AQ60="7",BH60,0)</f>
        <v>0</v>
      </c>
      <c r="AE60" s="82" t="n">
        <f aca="false">IF(AQ60="7",BI60,0)</f>
        <v>0</v>
      </c>
      <c r="AF60" s="82" t="n">
        <f aca="false">IF(AQ60="2",BH60,0)</f>
        <v>0</v>
      </c>
      <c r="AG60" s="82" t="n">
        <f aca="false">IF(AQ60="2",BI60,0)</f>
        <v>0</v>
      </c>
      <c r="AH60" s="82" t="n">
        <f aca="false">IF(AQ60="0",BJ60,0)</f>
        <v>0</v>
      </c>
      <c r="AI60" s="64" t="s">
        <v>99</v>
      </c>
      <c r="AJ60" s="82" t="n">
        <f aca="false">IF(AN60=0,L60,0)</f>
        <v>0</v>
      </c>
      <c r="AK60" s="82" t="n">
        <f aca="false">IF(AN60=15,L60,0)</f>
        <v>0</v>
      </c>
      <c r="AL60" s="82" t="n">
        <f aca="false">IF(AN60=21,L60,0)</f>
        <v>0</v>
      </c>
      <c r="AM60" s="51"/>
      <c r="AN60" s="82" t="n">
        <v>21</v>
      </c>
      <c r="AO60" s="82" t="n">
        <f aca="false">I60*0.536686746987952</f>
        <v>0</v>
      </c>
      <c r="AP60" s="82" t="n">
        <f aca="false">I60*(1-0.536686746987952)</f>
        <v>0</v>
      </c>
      <c r="AQ60" s="83" t="s">
        <v>132</v>
      </c>
      <c r="AR60" s="51"/>
      <c r="AS60" s="51"/>
      <c r="AT60" s="51"/>
      <c r="AU60" s="51"/>
      <c r="AV60" s="82" t="n">
        <f aca="false">AW60+AX60</f>
        <v>0</v>
      </c>
      <c r="AW60" s="82" t="n">
        <f aca="false">H60*AO60</f>
        <v>0</v>
      </c>
      <c r="AX60" s="82" t="n">
        <f aca="false">H60*AP60</f>
        <v>0</v>
      </c>
      <c r="AY60" s="83" t="s">
        <v>140</v>
      </c>
      <c r="AZ60" s="83" t="s">
        <v>141</v>
      </c>
      <c r="BA60" s="64" t="s">
        <v>107</v>
      </c>
      <c r="BB60" s="51"/>
      <c r="BC60" s="82" t="n">
        <f aca="false">AW60+AX60</f>
        <v>0</v>
      </c>
      <c r="BD60" s="82" t="n">
        <f aca="false">I60/(100-BE60)*100</f>
        <v>0</v>
      </c>
      <c r="BE60" s="82" t="n">
        <v>0</v>
      </c>
      <c r="BF60" s="82" t="n">
        <f aca="false">60</f>
        <v>60</v>
      </c>
      <c r="BG60" s="51"/>
      <c r="BH60" s="82" t="n">
        <f aca="false">H60*AO60</f>
        <v>0</v>
      </c>
      <c r="BI60" s="82" t="n">
        <f aca="false">H60*AP60</f>
        <v>0</v>
      </c>
      <c r="BJ60" s="82" t="n">
        <f aca="false">H60*I60</f>
        <v>0</v>
      </c>
      <c r="BK60" s="82"/>
      <c r="BL60" s="82" t="n">
        <v>722</v>
      </c>
    </row>
    <row r="61" customFormat="false" ht="15" hidden="false" customHeight="true" outlineLevel="0" collapsed="false">
      <c r="A61" s="78" t="s">
        <v>250</v>
      </c>
      <c r="B61" s="14" t="s">
        <v>251</v>
      </c>
      <c r="C61" s="14" t="s">
        <v>252</v>
      </c>
      <c r="D61" s="14"/>
      <c r="E61" s="14"/>
      <c r="F61" s="14"/>
      <c r="G61" s="14" t="s">
        <v>111</v>
      </c>
      <c r="H61" s="79" t="n">
        <v>4</v>
      </c>
      <c r="I61" s="80" t="n">
        <v>0</v>
      </c>
      <c r="J61" s="79" t="n">
        <f aca="false">H61*AO61</f>
        <v>0</v>
      </c>
      <c r="K61" s="79" t="n">
        <f aca="false">H61*AP61</f>
        <v>0</v>
      </c>
      <c r="L61" s="79" t="n">
        <f aca="false">H61*I61</f>
        <v>0</v>
      </c>
      <c r="M61" s="81" t="s">
        <v>104</v>
      </c>
      <c r="N61" s="53"/>
      <c r="O61" s="53"/>
      <c r="P61" s="53"/>
      <c r="Q61" s="53"/>
      <c r="R61" s="53"/>
      <c r="S61" s="53"/>
      <c r="T61" s="53"/>
      <c r="U61" s="53"/>
      <c r="V61" s="53"/>
      <c r="W61" s="53"/>
      <c r="X61" s="53"/>
      <c r="Y61" s="51"/>
      <c r="Z61" s="82" t="n">
        <f aca="false">IF(AQ61="5",BJ61,0)</f>
        <v>0</v>
      </c>
      <c r="AA61" s="51"/>
      <c r="AB61" s="82" t="n">
        <f aca="false">IF(AQ61="1",BH61,0)</f>
        <v>0</v>
      </c>
      <c r="AC61" s="82" t="n">
        <f aca="false">IF(AQ61="1",BI61,0)</f>
        <v>0</v>
      </c>
      <c r="AD61" s="82" t="n">
        <f aca="false">IF(AQ61="7",BH61,0)</f>
        <v>0</v>
      </c>
      <c r="AE61" s="82" t="n">
        <f aca="false">IF(AQ61="7",BI61,0)</f>
        <v>0</v>
      </c>
      <c r="AF61" s="82" t="n">
        <f aca="false">IF(AQ61="2",BH61,0)</f>
        <v>0</v>
      </c>
      <c r="AG61" s="82" t="n">
        <f aca="false">IF(AQ61="2",BI61,0)</f>
        <v>0</v>
      </c>
      <c r="AH61" s="82" t="n">
        <f aca="false">IF(AQ61="0",BJ61,0)</f>
        <v>0</v>
      </c>
      <c r="AI61" s="64" t="s">
        <v>99</v>
      </c>
      <c r="AJ61" s="82" t="n">
        <f aca="false">IF(AN61=0,L61,0)</f>
        <v>0</v>
      </c>
      <c r="AK61" s="82" t="n">
        <f aca="false">IF(AN61=15,L61,0)</f>
        <v>0</v>
      </c>
      <c r="AL61" s="82" t="n">
        <f aca="false">IF(AN61=21,L61,0)</f>
        <v>0</v>
      </c>
      <c r="AM61" s="51"/>
      <c r="AN61" s="82" t="n">
        <v>21</v>
      </c>
      <c r="AO61" s="82" t="n">
        <f aca="false">I61*0.00752</f>
        <v>0</v>
      </c>
      <c r="AP61" s="82" t="n">
        <f aca="false">I61*(1-0.00752)</f>
        <v>0</v>
      </c>
      <c r="AQ61" s="83" t="s">
        <v>132</v>
      </c>
      <c r="AR61" s="51"/>
      <c r="AS61" s="51"/>
      <c r="AT61" s="51"/>
      <c r="AU61" s="51"/>
      <c r="AV61" s="82" t="n">
        <f aca="false">AW61+AX61</f>
        <v>0</v>
      </c>
      <c r="AW61" s="82" t="n">
        <f aca="false">H61*AO61</f>
        <v>0</v>
      </c>
      <c r="AX61" s="82" t="n">
        <f aca="false">H61*AP61</f>
        <v>0</v>
      </c>
      <c r="AY61" s="83" t="s">
        <v>140</v>
      </c>
      <c r="AZ61" s="83" t="s">
        <v>141</v>
      </c>
      <c r="BA61" s="64" t="s">
        <v>107</v>
      </c>
      <c r="BB61" s="51"/>
      <c r="BC61" s="82" t="n">
        <f aca="false">AW61+AX61</f>
        <v>0</v>
      </c>
      <c r="BD61" s="82" t="n">
        <f aca="false">I61/(100-BE61)*100</f>
        <v>0</v>
      </c>
      <c r="BE61" s="82" t="n">
        <v>0</v>
      </c>
      <c r="BF61" s="82" t="n">
        <f aca="false">61</f>
        <v>61</v>
      </c>
      <c r="BG61" s="51"/>
      <c r="BH61" s="82" t="n">
        <f aca="false">H61*AO61</f>
        <v>0</v>
      </c>
      <c r="BI61" s="82" t="n">
        <f aca="false">H61*AP61</f>
        <v>0</v>
      </c>
      <c r="BJ61" s="82" t="n">
        <f aca="false">H61*I61</f>
        <v>0</v>
      </c>
      <c r="BK61" s="82"/>
      <c r="BL61" s="82" t="n">
        <v>722</v>
      </c>
    </row>
    <row r="62" customFormat="false" ht="15" hidden="false" customHeight="true" outlineLevel="0" collapsed="false">
      <c r="A62" s="78" t="s">
        <v>253</v>
      </c>
      <c r="B62" s="14" t="s">
        <v>254</v>
      </c>
      <c r="C62" s="14" t="s">
        <v>255</v>
      </c>
      <c r="D62" s="14"/>
      <c r="E62" s="14"/>
      <c r="F62" s="14"/>
      <c r="G62" s="14" t="s">
        <v>111</v>
      </c>
      <c r="H62" s="79" t="n">
        <v>2</v>
      </c>
      <c r="I62" s="80" t="n">
        <v>0</v>
      </c>
      <c r="J62" s="79" t="n">
        <f aca="false">H62*AO62</f>
        <v>0</v>
      </c>
      <c r="K62" s="79" t="n">
        <f aca="false">H62*AP62</f>
        <v>0</v>
      </c>
      <c r="L62" s="79" t="n">
        <f aca="false">H62*I62</f>
        <v>0</v>
      </c>
      <c r="M62" s="81" t="s">
        <v>104</v>
      </c>
      <c r="N62" s="53"/>
      <c r="O62" s="53"/>
      <c r="P62" s="53"/>
      <c r="Q62" s="53"/>
      <c r="R62" s="53"/>
      <c r="S62" s="53"/>
      <c r="T62" s="53"/>
      <c r="U62" s="53"/>
      <c r="V62" s="53"/>
      <c r="W62" s="53"/>
      <c r="X62" s="53"/>
      <c r="Y62" s="51"/>
      <c r="Z62" s="82" t="n">
        <f aca="false">IF(AQ62="5",BJ62,0)</f>
        <v>0</v>
      </c>
      <c r="AA62" s="51"/>
      <c r="AB62" s="82" t="n">
        <f aca="false">IF(AQ62="1",BH62,0)</f>
        <v>0</v>
      </c>
      <c r="AC62" s="82" t="n">
        <f aca="false">IF(AQ62="1",BI62,0)</f>
        <v>0</v>
      </c>
      <c r="AD62" s="82" t="n">
        <f aca="false">IF(AQ62="7",BH62,0)</f>
        <v>0</v>
      </c>
      <c r="AE62" s="82" t="n">
        <f aca="false">IF(AQ62="7",BI62,0)</f>
        <v>0</v>
      </c>
      <c r="AF62" s="82" t="n">
        <f aca="false">IF(AQ62="2",BH62,0)</f>
        <v>0</v>
      </c>
      <c r="AG62" s="82" t="n">
        <f aca="false">IF(AQ62="2",BI62,0)</f>
        <v>0</v>
      </c>
      <c r="AH62" s="82" t="n">
        <f aca="false">IF(AQ62="0",BJ62,0)</f>
        <v>0</v>
      </c>
      <c r="AI62" s="64" t="s">
        <v>99</v>
      </c>
      <c r="AJ62" s="82" t="n">
        <f aca="false">IF(AN62=0,L62,0)</f>
        <v>0</v>
      </c>
      <c r="AK62" s="82" t="n">
        <f aca="false">IF(AN62=15,L62,0)</f>
        <v>0</v>
      </c>
      <c r="AL62" s="82" t="n">
        <f aca="false">IF(AN62=21,L62,0)</f>
        <v>0</v>
      </c>
      <c r="AM62" s="51"/>
      <c r="AN62" s="82" t="n">
        <v>21</v>
      </c>
      <c r="AO62" s="82" t="n">
        <f aca="false">I62*0.00967078189300411</f>
        <v>0</v>
      </c>
      <c r="AP62" s="82" t="n">
        <f aca="false">I62*(1-0.00967078189300411)</f>
        <v>0</v>
      </c>
      <c r="AQ62" s="83" t="s">
        <v>132</v>
      </c>
      <c r="AR62" s="51"/>
      <c r="AS62" s="51"/>
      <c r="AT62" s="51"/>
      <c r="AU62" s="51"/>
      <c r="AV62" s="82" t="n">
        <f aca="false">AW62+AX62</f>
        <v>0</v>
      </c>
      <c r="AW62" s="82" t="n">
        <f aca="false">H62*AO62</f>
        <v>0</v>
      </c>
      <c r="AX62" s="82" t="n">
        <f aca="false">H62*AP62</f>
        <v>0</v>
      </c>
      <c r="AY62" s="83" t="s">
        <v>140</v>
      </c>
      <c r="AZ62" s="83" t="s">
        <v>141</v>
      </c>
      <c r="BA62" s="64" t="s">
        <v>107</v>
      </c>
      <c r="BB62" s="51"/>
      <c r="BC62" s="82" t="n">
        <f aca="false">AW62+AX62</f>
        <v>0</v>
      </c>
      <c r="BD62" s="82" t="n">
        <f aca="false">I62/(100-BE62)*100</f>
        <v>0</v>
      </c>
      <c r="BE62" s="82" t="n">
        <v>0</v>
      </c>
      <c r="BF62" s="82" t="n">
        <f aca="false">62</f>
        <v>62</v>
      </c>
      <c r="BG62" s="51"/>
      <c r="BH62" s="82" t="n">
        <f aca="false">H62*AO62</f>
        <v>0</v>
      </c>
      <c r="BI62" s="82" t="n">
        <f aca="false">H62*AP62</f>
        <v>0</v>
      </c>
      <c r="BJ62" s="82" t="n">
        <f aca="false">H62*I62</f>
        <v>0</v>
      </c>
      <c r="BK62" s="82"/>
      <c r="BL62" s="82" t="n">
        <v>722</v>
      </c>
    </row>
    <row r="63" customFormat="false" ht="15" hidden="false" customHeight="true" outlineLevel="0" collapsed="false">
      <c r="A63" s="78" t="s">
        <v>256</v>
      </c>
      <c r="B63" s="14" t="s">
        <v>257</v>
      </c>
      <c r="C63" s="14" t="s">
        <v>258</v>
      </c>
      <c r="D63" s="14"/>
      <c r="E63" s="14"/>
      <c r="F63" s="14"/>
      <c r="G63" s="14" t="s">
        <v>111</v>
      </c>
      <c r="H63" s="79" t="n">
        <v>6</v>
      </c>
      <c r="I63" s="80" t="n">
        <v>0</v>
      </c>
      <c r="J63" s="79" t="n">
        <f aca="false">H63*AO63</f>
        <v>0</v>
      </c>
      <c r="K63" s="79" t="n">
        <f aca="false">H63*AP63</f>
        <v>0</v>
      </c>
      <c r="L63" s="79" t="n">
        <f aca="false">H63*I63</f>
        <v>0</v>
      </c>
      <c r="M63" s="81" t="s">
        <v>104</v>
      </c>
      <c r="N63" s="53"/>
      <c r="O63" s="53"/>
      <c r="P63" s="53"/>
      <c r="Q63" s="53"/>
      <c r="R63" s="53"/>
      <c r="S63" s="53"/>
      <c r="T63" s="53"/>
      <c r="U63" s="53"/>
      <c r="V63" s="53"/>
      <c r="W63" s="53"/>
      <c r="X63" s="53"/>
      <c r="Y63" s="51"/>
      <c r="Z63" s="82" t="n">
        <f aca="false">IF(AQ63="5",BJ63,0)</f>
        <v>0</v>
      </c>
      <c r="AA63" s="51"/>
      <c r="AB63" s="82" t="n">
        <f aca="false">IF(AQ63="1",BH63,0)</f>
        <v>0</v>
      </c>
      <c r="AC63" s="82" t="n">
        <f aca="false">IF(AQ63="1",BI63,0)</f>
        <v>0</v>
      </c>
      <c r="AD63" s="82" t="n">
        <f aca="false">IF(AQ63="7",BH63,0)</f>
        <v>0</v>
      </c>
      <c r="AE63" s="82" t="n">
        <f aca="false">IF(AQ63="7",BI63,0)</f>
        <v>0</v>
      </c>
      <c r="AF63" s="82" t="n">
        <f aca="false">IF(AQ63="2",BH63,0)</f>
        <v>0</v>
      </c>
      <c r="AG63" s="82" t="n">
        <f aca="false">IF(AQ63="2",BI63,0)</f>
        <v>0</v>
      </c>
      <c r="AH63" s="82" t="n">
        <f aca="false">IF(AQ63="0",BJ63,0)</f>
        <v>0</v>
      </c>
      <c r="AI63" s="64" t="s">
        <v>99</v>
      </c>
      <c r="AJ63" s="82" t="n">
        <f aca="false">IF(AN63=0,L63,0)</f>
        <v>0</v>
      </c>
      <c r="AK63" s="82" t="n">
        <f aca="false">IF(AN63=15,L63,0)</f>
        <v>0</v>
      </c>
      <c r="AL63" s="82" t="n">
        <f aca="false">IF(AN63=21,L63,0)</f>
        <v>0</v>
      </c>
      <c r="AM63" s="51"/>
      <c r="AN63" s="82" t="n">
        <v>21</v>
      </c>
      <c r="AO63" s="82" t="n">
        <f aca="false">I63*0.0114634146341463</f>
        <v>0</v>
      </c>
      <c r="AP63" s="82" t="n">
        <f aca="false">I63*(1-0.0114634146341463)</f>
        <v>0</v>
      </c>
      <c r="AQ63" s="83" t="s">
        <v>132</v>
      </c>
      <c r="AR63" s="51"/>
      <c r="AS63" s="51"/>
      <c r="AT63" s="51"/>
      <c r="AU63" s="51"/>
      <c r="AV63" s="82" t="n">
        <f aca="false">AW63+AX63</f>
        <v>0</v>
      </c>
      <c r="AW63" s="82" t="n">
        <f aca="false">H63*AO63</f>
        <v>0</v>
      </c>
      <c r="AX63" s="82" t="n">
        <f aca="false">H63*AP63</f>
        <v>0</v>
      </c>
      <c r="AY63" s="83" t="s">
        <v>140</v>
      </c>
      <c r="AZ63" s="83" t="s">
        <v>141</v>
      </c>
      <c r="BA63" s="64" t="s">
        <v>107</v>
      </c>
      <c r="BB63" s="51"/>
      <c r="BC63" s="82" t="n">
        <f aca="false">AW63+AX63</f>
        <v>0</v>
      </c>
      <c r="BD63" s="82" t="n">
        <f aca="false">I63/(100-BE63)*100</f>
        <v>0</v>
      </c>
      <c r="BE63" s="82" t="n">
        <v>0</v>
      </c>
      <c r="BF63" s="82" t="n">
        <f aca="false">63</f>
        <v>63</v>
      </c>
      <c r="BG63" s="51"/>
      <c r="BH63" s="82" t="n">
        <f aca="false">H63*AO63</f>
        <v>0</v>
      </c>
      <c r="BI63" s="82" t="n">
        <f aca="false">H63*AP63</f>
        <v>0</v>
      </c>
      <c r="BJ63" s="82" t="n">
        <f aca="false">H63*I63</f>
        <v>0</v>
      </c>
      <c r="BK63" s="82"/>
      <c r="BL63" s="82" t="n">
        <v>722</v>
      </c>
    </row>
    <row r="64" customFormat="false" ht="15" hidden="false" customHeight="true" outlineLevel="0" collapsed="false">
      <c r="A64" s="78" t="s">
        <v>259</v>
      </c>
      <c r="B64" s="14" t="s">
        <v>251</v>
      </c>
      <c r="C64" s="14" t="s">
        <v>252</v>
      </c>
      <c r="D64" s="14"/>
      <c r="E64" s="14"/>
      <c r="F64" s="14"/>
      <c r="G64" s="14" t="s">
        <v>111</v>
      </c>
      <c r="H64" s="79" t="n">
        <v>27</v>
      </c>
      <c r="I64" s="80" t="n">
        <v>0</v>
      </c>
      <c r="J64" s="79" t="n">
        <f aca="false">H64*AO64</f>
        <v>0</v>
      </c>
      <c r="K64" s="79" t="n">
        <f aca="false">H64*AP64</f>
        <v>0</v>
      </c>
      <c r="L64" s="79" t="n">
        <f aca="false">H64*I64</f>
        <v>0</v>
      </c>
      <c r="M64" s="81" t="s">
        <v>104</v>
      </c>
      <c r="N64" s="53"/>
      <c r="O64" s="53"/>
      <c r="P64" s="53"/>
      <c r="Q64" s="53"/>
      <c r="R64" s="53"/>
      <c r="S64" s="53"/>
      <c r="T64" s="53"/>
      <c r="U64" s="53"/>
      <c r="V64" s="53"/>
      <c r="W64" s="53"/>
      <c r="X64" s="53"/>
      <c r="Y64" s="51"/>
      <c r="Z64" s="82" t="n">
        <f aca="false">IF(AQ64="5",BJ64,0)</f>
        <v>0</v>
      </c>
      <c r="AA64" s="51"/>
      <c r="AB64" s="82" t="n">
        <f aca="false">IF(AQ64="1",BH64,0)</f>
        <v>0</v>
      </c>
      <c r="AC64" s="82" t="n">
        <f aca="false">IF(AQ64="1",BI64,0)</f>
        <v>0</v>
      </c>
      <c r="AD64" s="82" t="n">
        <f aca="false">IF(AQ64="7",BH64,0)</f>
        <v>0</v>
      </c>
      <c r="AE64" s="82" t="n">
        <f aca="false">IF(AQ64="7",BI64,0)</f>
        <v>0</v>
      </c>
      <c r="AF64" s="82" t="n">
        <f aca="false">IF(AQ64="2",BH64,0)</f>
        <v>0</v>
      </c>
      <c r="AG64" s="82" t="n">
        <f aca="false">IF(AQ64="2",BI64,0)</f>
        <v>0</v>
      </c>
      <c r="AH64" s="82" t="n">
        <f aca="false">IF(AQ64="0",BJ64,0)</f>
        <v>0</v>
      </c>
      <c r="AI64" s="64" t="s">
        <v>99</v>
      </c>
      <c r="AJ64" s="82" t="n">
        <f aca="false">IF(AN64=0,L64,0)</f>
        <v>0</v>
      </c>
      <c r="AK64" s="82" t="n">
        <f aca="false">IF(AN64=15,L64,0)</f>
        <v>0</v>
      </c>
      <c r="AL64" s="82" t="n">
        <f aca="false">IF(AN64=21,L64,0)</f>
        <v>0</v>
      </c>
      <c r="AM64" s="51"/>
      <c r="AN64" s="82" t="n">
        <v>21</v>
      </c>
      <c r="AO64" s="82" t="n">
        <f aca="false">I64*0.00752</f>
        <v>0</v>
      </c>
      <c r="AP64" s="82" t="n">
        <f aca="false">I64*(1-0.00752)</f>
        <v>0</v>
      </c>
      <c r="AQ64" s="83" t="s">
        <v>132</v>
      </c>
      <c r="AR64" s="51"/>
      <c r="AS64" s="51"/>
      <c r="AT64" s="51"/>
      <c r="AU64" s="51"/>
      <c r="AV64" s="82" t="n">
        <f aca="false">AW64+AX64</f>
        <v>0</v>
      </c>
      <c r="AW64" s="82" t="n">
        <f aca="false">H64*AO64</f>
        <v>0</v>
      </c>
      <c r="AX64" s="82" t="n">
        <f aca="false">H64*AP64</f>
        <v>0</v>
      </c>
      <c r="AY64" s="83" t="s">
        <v>140</v>
      </c>
      <c r="AZ64" s="83" t="s">
        <v>141</v>
      </c>
      <c r="BA64" s="64" t="s">
        <v>107</v>
      </c>
      <c r="BB64" s="51"/>
      <c r="BC64" s="82" t="n">
        <f aca="false">AW64+AX64</f>
        <v>0</v>
      </c>
      <c r="BD64" s="82" t="n">
        <f aca="false">I64/(100-BE64)*100</f>
        <v>0</v>
      </c>
      <c r="BE64" s="82" t="n">
        <v>0</v>
      </c>
      <c r="BF64" s="82" t="n">
        <f aca="false">64</f>
        <v>64</v>
      </c>
      <c r="BG64" s="51"/>
      <c r="BH64" s="82" t="n">
        <f aca="false">H64*AO64</f>
        <v>0</v>
      </c>
      <c r="BI64" s="82" t="n">
        <f aca="false">H64*AP64</f>
        <v>0</v>
      </c>
      <c r="BJ64" s="82" t="n">
        <f aca="false">H64*I64</f>
        <v>0</v>
      </c>
      <c r="BK64" s="82"/>
      <c r="BL64" s="82" t="n">
        <v>722</v>
      </c>
    </row>
    <row r="65" customFormat="false" ht="15" hidden="false" customHeight="true" outlineLevel="0" collapsed="false">
      <c r="A65" s="78" t="s">
        <v>260</v>
      </c>
      <c r="B65" s="14" t="s">
        <v>257</v>
      </c>
      <c r="C65" s="14" t="s">
        <v>258</v>
      </c>
      <c r="D65" s="14"/>
      <c r="E65" s="14"/>
      <c r="F65" s="14"/>
      <c r="G65" s="14" t="s">
        <v>111</v>
      </c>
      <c r="H65" s="79" t="n">
        <v>22</v>
      </c>
      <c r="I65" s="80" t="n">
        <v>0</v>
      </c>
      <c r="J65" s="79" t="n">
        <f aca="false">H65*AO65</f>
        <v>0</v>
      </c>
      <c r="K65" s="79" t="n">
        <f aca="false">H65*AP65</f>
        <v>0</v>
      </c>
      <c r="L65" s="79" t="n">
        <f aca="false">H65*I65</f>
        <v>0</v>
      </c>
      <c r="M65" s="81" t="s">
        <v>104</v>
      </c>
      <c r="N65" s="53"/>
      <c r="O65" s="53"/>
      <c r="P65" s="53"/>
      <c r="Q65" s="53"/>
      <c r="R65" s="53"/>
      <c r="S65" s="53"/>
      <c r="T65" s="53"/>
      <c r="U65" s="53"/>
      <c r="V65" s="53"/>
      <c r="W65" s="53"/>
      <c r="X65" s="53"/>
      <c r="Y65" s="51"/>
      <c r="Z65" s="82" t="n">
        <f aca="false">IF(AQ65="5",BJ65,0)</f>
        <v>0</v>
      </c>
      <c r="AA65" s="51"/>
      <c r="AB65" s="82" t="n">
        <f aca="false">IF(AQ65="1",BH65,0)</f>
        <v>0</v>
      </c>
      <c r="AC65" s="82" t="n">
        <f aca="false">IF(AQ65="1",BI65,0)</f>
        <v>0</v>
      </c>
      <c r="AD65" s="82" t="n">
        <f aca="false">IF(AQ65="7",BH65,0)</f>
        <v>0</v>
      </c>
      <c r="AE65" s="82" t="n">
        <f aca="false">IF(AQ65="7",BI65,0)</f>
        <v>0</v>
      </c>
      <c r="AF65" s="82" t="n">
        <f aca="false">IF(AQ65="2",BH65,0)</f>
        <v>0</v>
      </c>
      <c r="AG65" s="82" t="n">
        <f aca="false">IF(AQ65="2",BI65,0)</f>
        <v>0</v>
      </c>
      <c r="AH65" s="82" t="n">
        <f aca="false">IF(AQ65="0",BJ65,0)</f>
        <v>0</v>
      </c>
      <c r="AI65" s="64" t="s">
        <v>99</v>
      </c>
      <c r="AJ65" s="82" t="n">
        <f aca="false">IF(AN65=0,L65,0)</f>
        <v>0</v>
      </c>
      <c r="AK65" s="82" t="n">
        <f aca="false">IF(AN65=15,L65,0)</f>
        <v>0</v>
      </c>
      <c r="AL65" s="82" t="n">
        <f aca="false">IF(AN65=21,L65,0)</f>
        <v>0</v>
      </c>
      <c r="AM65" s="51"/>
      <c r="AN65" s="82" t="n">
        <v>21</v>
      </c>
      <c r="AO65" s="82" t="n">
        <f aca="false">I65*0.0114634146341463</f>
        <v>0</v>
      </c>
      <c r="AP65" s="82" t="n">
        <f aca="false">I65*(1-0.0114634146341463)</f>
        <v>0</v>
      </c>
      <c r="AQ65" s="83" t="s">
        <v>132</v>
      </c>
      <c r="AR65" s="51"/>
      <c r="AS65" s="51"/>
      <c r="AT65" s="51"/>
      <c r="AU65" s="51"/>
      <c r="AV65" s="82" t="n">
        <f aca="false">AW65+AX65</f>
        <v>0</v>
      </c>
      <c r="AW65" s="82" t="n">
        <f aca="false">H65*AO65</f>
        <v>0</v>
      </c>
      <c r="AX65" s="82" t="n">
        <f aca="false">H65*AP65</f>
        <v>0</v>
      </c>
      <c r="AY65" s="83" t="s">
        <v>140</v>
      </c>
      <c r="AZ65" s="83" t="s">
        <v>141</v>
      </c>
      <c r="BA65" s="64" t="s">
        <v>107</v>
      </c>
      <c r="BB65" s="51"/>
      <c r="BC65" s="82" t="n">
        <f aca="false">AW65+AX65</f>
        <v>0</v>
      </c>
      <c r="BD65" s="82" t="n">
        <f aca="false">I65/(100-BE65)*100</f>
        <v>0</v>
      </c>
      <c r="BE65" s="82" t="n">
        <v>0</v>
      </c>
      <c r="BF65" s="82" t="n">
        <f aca="false">65</f>
        <v>65</v>
      </c>
      <c r="BG65" s="51"/>
      <c r="BH65" s="82" t="n">
        <f aca="false">H65*AO65</f>
        <v>0</v>
      </c>
      <c r="BI65" s="82" t="n">
        <f aca="false">H65*AP65</f>
        <v>0</v>
      </c>
      <c r="BJ65" s="82" t="n">
        <f aca="false">H65*I65</f>
        <v>0</v>
      </c>
      <c r="BK65" s="82"/>
      <c r="BL65" s="82" t="n">
        <v>722</v>
      </c>
    </row>
    <row r="66" customFormat="false" ht="15" hidden="false" customHeight="true" outlineLevel="0" collapsed="false">
      <c r="A66" s="78" t="s">
        <v>261</v>
      </c>
      <c r="B66" s="14" t="s">
        <v>262</v>
      </c>
      <c r="C66" s="14" t="s">
        <v>263</v>
      </c>
      <c r="D66" s="14"/>
      <c r="E66" s="14"/>
      <c r="F66" s="14"/>
      <c r="G66" s="14" t="s">
        <v>111</v>
      </c>
      <c r="H66" s="79" t="n">
        <v>10</v>
      </c>
      <c r="I66" s="80" t="n">
        <v>0</v>
      </c>
      <c r="J66" s="79" t="n">
        <f aca="false">H66*AO66</f>
        <v>0</v>
      </c>
      <c r="K66" s="79" t="n">
        <f aca="false">H66*AP66</f>
        <v>0</v>
      </c>
      <c r="L66" s="79" t="n">
        <f aca="false">H66*I66</f>
        <v>0</v>
      </c>
      <c r="M66" s="81" t="s">
        <v>104</v>
      </c>
      <c r="N66" s="53"/>
      <c r="O66" s="53"/>
      <c r="P66" s="53"/>
      <c r="Q66" s="53"/>
      <c r="R66" s="53"/>
      <c r="S66" s="53"/>
      <c r="T66" s="53"/>
      <c r="U66" s="53"/>
      <c r="V66" s="53"/>
      <c r="W66" s="53"/>
      <c r="X66" s="53"/>
      <c r="Y66" s="51"/>
      <c r="Z66" s="82" t="n">
        <f aca="false">IF(AQ66="5",BJ66,0)</f>
        <v>0</v>
      </c>
      <c r="AA66" s="51"/>
      <c r="AB66" s="82" t="n">
        <f aca="false">IF(AQ66="1",BH66,0)</f>
        <v>0</v>
      </c>
      <c r="AC66" s="82" t="n">
        <f aca="false">IF(AQ66="1",BI66,0)</f>
        <v>0</v>
      </c>
      <c r="AD66" s="82" t="n">
        <f aca="false">IF(AQ66="7",BH66,0)</f>
        <v>0</v>
      </c>
      <c r="AE66" s="82" t="n">
        <f aca="false">IF(AQ66="7",BI66,0)</f>
        <v>0</v>
      </c>
      <c r="AF66" s="82" t="n">
        <f aca="false">IF(AQ66="2",BH66,0)</f>
        <v>0</v>
      </c>
      <c r="AG66" s="82" t="n">
        <f aca="false">IF(AQ66="2",BI66,0)</f>
        <v>0</v>
      </c>
      <c r="AH66" s="82" t="n">
        <f aca="false">IF(AQ66="0",BJ66,0)</f>
        <v>0</v>
      </c>
      <c r="AI66" s="64" t="s">
        <v>99</v>
      </c>
      <c r="AJ66" s="82" t="n">
        <f aca="false">IF(AN66=0,L66,0)</f>
        <v>0</v>
      </c>
      <c r="AK66" s="82" t="n">
        <f aca="false">IF(AN66=15,L66,0)</f>
        <v>0</v>
      </c>
      <c r="AL66" s="82" t="n">
        <f aca="false">IF(AN66=21,L66,0)</f>
        <v>0</v>
      </c>
      <c r="AM66" s="51"/>
      <c r="AN66" s="82" t="n">
        <v>21</v>
      </c>
      <c r="AO66" s="82" t="n">
        <f aca="false">I66*0.0146417445482866</f>
        <v>0</v>
      </c>
      <c r="AP66" s="82" t="n">
        <f aca="false">I66*(1-0.0146417445482866)</f>
        <v>0</v>
      </c>
      <c r="AQ66" s="83" t="s">
        <v>132</v>
      </c>
      <c r="AR66" s="51"/>
      <c r="AS66" s="51"/>
      <c r="AT66" s="51"/>
      <c r="AU66" s="51"/>
      <c r="AV66" s="82" t="n">
        <f aca="false">AW66+AX66</f>
        <v>0</v>
      </c>
      <c r="AW66" s="82" t="n">
        <f aca="false">H66*AO66</f>
        <v>0</v>
      </c>
      <c r="AX66" s="82" t="n">
        <f aca="false">H66*AP66</f>
        <v>0</v>
      </c>
      <c r="AY66" s="83" t="s">
        <v>140</v>
      </c>
      <c r="AZ66" s="83" t="s">
        <v>141</v>
      </c>
      <c r="BA66" s="64" t="s">
        <v>107</v>
      </c>
      <c r="BB66" s="51"/>
      <c r="BC66" s="82" t="n">
        <f aca="false">AW66+AX66</f>
        <v>0</v>
      </c>
      <c r="BD66" s="82" t="n">
        <f aca="false">I66/(100-BE66)*100</f>
        <v>0</v>
      </c>
      <c r="BE66" s="82" t="n">
        <v>0</v>
      </c>
      <c r="BF66" s="82" t="n">
        <f aca="false">66</f>
        <v>66</v>
      </c>
      <c r="BG66" s="51"/>
      <c r="BH66" s="82" t="n">
        <f aca="false">H66*AO66</f>
        <v>0</v>
      </c>
      <c r="BI66" s="82" t="n">
        <f aca="false">H66*AP66</f>
        <v>0</v>
      </c>
      <c r="BJ66" s="82" t="n">
        <f aca="false">H66*I66</f>
        <v>0</v>
      </c>
      <c r="BK66" s="82"/>
      <c r="BL66" s="82" t="n">
        <v>722</v>
      </c>
    </row>
    <row r="67" customFormat="false" ht="15" hidden="false" customHeight="true" outlineLevel="0" collapsed="false">
      <c r="A67" s="78" t="s">
        <v>264</v>
      </c>
      <c r="B67" s="14" t="s">
        <v>265</v>
      </c>
      <c r="C67" s="14" t="s">
        <v>266</v>
      </c>
      <c r="D67" s="14"/>
      <c r="E67" s="14"/>
      <c r="F67" s="14"/>
      <c r="G67" s="14" t="s">
        <v>111</v>
      </c>
      <c r="H67" s="79" t="n">
        <v>106</v>
      </c>
      <c r="I67" s="80" t="n">
        <v>0</v>
      </c>
      <c r="J67" s="79" t="n">
        <f aca="false">H67*AO67</f>
        <v>0</v>
      </c>
      <c r="K67" s="79" t="n">
        <f aca="false">H67*AP67</f>
        <v>0</v>
      </c>
      <c r="L67" s="79" t="n">
        <f aca="false">H67*I67</f>
        <v>0</v>
      </c>
      <c r="M67" s="81" t="s">
        <v>104</v>
      </c>
      <c r="N67" s="53"/>
      <c r="O67" s="53"/>
      <c r="P67" s="53"/>
      <c r="Q67" s="53"/>
      <c r="R67" s="53"/>
      <c r="S67" s="53"/>
      <c r="T67" s="53"/>
      <c r="U67" s="53"/>
      <c r="V67" s="53"/>
      <c r="W67" s="53"/>
      <c r="X67" s="53"/>
      <c r="Y67" s="51"/>
      <c r="Z67" s="82" t="n">
        <f aca="false">IF(AQ67="5",BJ67,0)</f>
        <v>0</v>
      </c>
      <c r="AA67" s="51"/>
      <c r="AB67" s="82" t="n">
        <f aca="false">IF(AQ67="1",BH67,0)</f>
        <v>0</v>
      </c>
      <c r="AC67" s="82" t="n">
        <f aca="false">IF(AQ67="1",BI67,0)</f>
        <v>0</v>
      </c>
      <c r="AD67" s="82" t="n">
        <f aca="false">IF(AQ67="7",BH67,0)</f>
        <v>0</v>
      </c>
      <c r="AE67" s="82" t="n">
        <f aca="false">IF(AQ67="7",BI67,0)</f>
        <v>0</v>
      </c>
      <c r="AF67" s="82" t="n">
        <f aca="false">IF(AQ67="2",BH67,0)</f>
        <v>0</v>
      </c>
      <c r="AG67" s="82" t="n">
        <f aca="false">IF(AQ67="2",BI67,0)</f>
        <v>0</v>
      </c>
      <c r="AH67" s="82" t="n">
        <f aca="false">IF(AQ67="0",BJ67,0)</f>
        <v>0</v>
      </c>
      <c r="AI67" s="64" t="s">
        <v>99</v>
      </c>
      <c r="AJ67" s="82" t="n">
        <f aca="false">IF(AN67=0,L67,0)</f>
        <v>0</v>
      </c>
      <c r="AK67" s="82" t="n">
        <f aca="false">IF(AN67=15,L67,0)</f>
        <v>0</v>
      </c>
      <c r="AL67" s="82" t="n">
        <f aca="false">IF(AN67=21,L67,0)</f>
        <v>0</v>
      </c>
      <c r="AM67" s="51"/>
      <c r="AN67" s="82" t="n">
        <v>21</v>
      </c>
      <c r="AO67" s="82" t="n">
        <f aca="false">I67*0.0169675090252708</f>
        <v>0</v>
      </c>
      <c r="AP67" s="82" t="n">
        <f aca="false">I67*(1-0.0169675090252708)</f>
        <v>0</v>
      </c>
      <c r="AQ67" s="83" t="s">
        <v>132</v>
      </c>
      <c r="AR67" s="51"/>
      <c r="AS67" s="51"/>
      <c r="AT67" s="51"/>
      <c r="AU67" s="51"/>
      <c r="AV67" s="82" t="n">
        <f aca="false">AW67+AX67</f>
        <v>0</v>
      </c>
      <c r="AW67" s="82" t="n">
        <f aca="false">H67*AO67</f>
        <v>0</v>
      </c>
      <c r="AX67" s="82" t="n">
        <f aca="false">H67*AP67</f>
        <v>0</v>
      </c>
      <c r="AY67" s="83" t="s">
        <v>140</v>
      </c>
      <c r="AZ67" s="83" t="s">
        <v>141</v>
      </c>
      <c r="BA67" s="64" t="s">
        <v>107</v>
      </c>
      <c r="BB67" s="51"/>
      <c r="BC67" s="82" t="n">
        <f aca="false">AW67+AX67</f>
        <v>0</v>
      </c>
      <c r="BD67" s="82" t="n">
        <f aca="false">I67/(100-BE67)*100</f>
        <v>0</v>
      </c>
      <c r="BE67" s="82" t="n">
        <v>0</v>
      </c>
      <c r="BF67" s="82" t="n">
        <f aca="false">67</f>
        <v>67</v>
      </c>
      <c r="BG67" s="51"/>
      <c r="BH67" s="82" t="n">
        <f aca="false">H67*AO67</f>
        <v>0</v>
      </c>
      <c r="BI67" s="82" t="n">
        <f aca="false">H67*AP67</f>
        <v>0</v>
      </c>
      <c r="BJ67" s="82" t="n">
        <f aca="false">H67*I67</f>
        <v>0</v>
      </c>
      <c r="BK67" s="82"/>
      <c r="BL67" s="82" t="n">
        <v>722</v>
      </c>
    </row>
    <row r="68" customFormat="false" ht="15" hidden="false" customHeight="true" outlineLevel="0" collapsed="false">
      <c r="A68" s="78" t="s">
        <v>267</v>
      </c>
      <c r="B68" s="14" t="s">
        <v>268</v>
      </c>
      <c r="C68" s="14" t="s">
        <v>269</v>
      </c>
      <c r="D68" s="14"/>
      <c r="E68" s="14"/>
      <c r="F68" s="14"/>
      <c r="G68" s="14" t="s">
        <v>111</v>
      </c>
      <c r="H68" s="79" t="n">
        <v>47</v>
      </c>
      <c r="I68" s="80" t="n">
        <v>0</v>
      </c>
      <c r="J68" s="79" t="n">
        <f aca="false">H68*AO68</f>
        <v>0</v>
      </c>
      <c r="K68" s="79" t="n">
        <f aca="false">H68*AP68</f>
        <v>0</v>
      </c>
      <c r="L68" s="79" t="n">
        <f aca="false">H68*I68</f>
        <v>0</v>
      </c>
      <c r="M68" s="81" t="s">
        <v>104</v>
      </c>
      <c r="N68" s="53"/>
      <c r="O68" s="53"/>
      <c r="P68" s="53"/>
      <c r="Q68" s="53"/>
      <c r="R68" s="53"/>
      <c r="S68" s="53"/>
      <c r="T68" s="53"/>
      <c r="U68" s="53"/>
      <c r="V68" s="53"/>
      <c r="W68" s="53"/>
      <c r="X68" s="53"/>
      <c r="Y68" s="51"/>
      <c r="Z68" s="82" t="n">
        <f aca="false">IF(AQ68="5",BJ68,0)</f>
        <v>0</v>
      </c>
      <c r="AA68" s="51"/>
      <c r="AB68" s="82" t="n">
        <f aca="false">IF(AQ68="1",BH68,0)</f>
        <v>0</v>
      </c>
      <c r="AC68" s="82" t="n">
        <f aca="false">IF(AQ68="1",BI68,0)</f>
        <v>0</v>
      </c>
      <c r="AD68" s="82" t="n">
        <f aca="false">IF(AQ68="7",BH68,0)</f>
        <v>0</v>
      </c>
      <c r="AE68" s="82" t="n">
        <f aca="false">IF(AQ68="7",BI68,0)</f>
        <v>0</v>
      </c>
      <c r="AF68" s="82" t="n">
        <f aca="false">IF(AQ68="2",BH68,0)</f>
        <v>0</v>
      </c>
      <c r="AG68" s="82" t="n">
        <f aca="false">IF(AQ68="2",BI68,0)</f>
        <v>0</v>
      </c>
      <c r="AH68" s="82" t="n">
        <f aca="false">IF(AQ68="0",BJ68,0)</f>
        <v>0</v>
      </c>
      <c r="AI68" s="64" t="s">
        <v>99</v>
      </c>
      <c r="AJ68" s="82" t="n">
        <f aca="false">IF(AN68=0,L68,0)</f>
        <v>0</v>
      </c>
      <c r="AK68" s="82" t="n">
        <f aca="false">IF(AN68=15,L68,0)</f>
        <v>0</v>
      </c>
      <c r="AL68" s="82" t="n">
        <f aca="false">IF(AN68=21,L68,0)</f>
        <v>0</v>
      </c>
      <c r="AM68" s="51"/>
      <c r="AN68" s="82" t="n">
        <v>21</v>
      </c>
      <c r="AO68" s="82" t="n">
        <f aca="false">I68*0.0202586206896552</f>
        <v>0</v>
      </c>
      <c r="AP68" s="82" t="n">
        <f aca="false">I68*(1-0.0202586206896552)</f>
        <v>0</v>
      </c>
      <c r="AQ68" s="83" t="s">
        <v>132</v>
      </c>
      <c r="AR68" s="51"/>
      <c r="AS68" s="51"/>
      <c r="AT68" s="51"/>
      <c r="AU68" s="51"/>
      <c r="AV68" s="82" t="n">
        <f aca="false">AW68+AX68</f>
        <v>0</v>
      </c>
      <c r="AW68" s="82" t="n">
        <f aca="false">H68*AO68</f>
        <v>0</v>
      </c>
      <c r="AX68" s="82" t="n">
        <f aca="false">H68*AP68</f>
        <v>0</v>
      </c>
      <c r="AY68" s="83" t="s">
        <v>140</v>
      </c>
      <c r="AZ68" s="83" t="s">
        <v>141</v>
      </c>
      <c r="BA68" s="64" t="s">
        <v>107</v>
      </c>
      <c r="BB68" s="51"/>
      <c r="BC68" s="82" t="n">
        <f aca="false">AW68+AX68</f>
        <v>0</v>
      </c>
      <c r="BD68" s="82" t="n">
        <f aca="false">I68/(100-BE68)*100</f>
        <v>0</v>
      </c>
      <c r="BE68" s="82" t="n">
        <v>0</v>
      </c>
      <c r="BF68" s="82" t="n">
        <f aca="false">68</f>
        <v>68</v>
      </c>
      <c r="BG68" s="51"/>
      <c r="BH68" s="82" t="n">
        <f aca="false">H68*AO68</f>
        <v>0</v>
      </c>
      <c r="BI68" s="82" t="n">
        <f aca="false">H68*AP68</f>
        <v>0</v>
      </c>
      <c r="BJ68" s="82" t="n">
        <f aca="false">H68*I68</f>
        <v>0</v>
      </c>
      <c r="BK68" s="82"/>
      <c r="BL68" s="82" t="n">
        <v>722</v>
      </c>
    </row>
    <row r="69" customFormat="false" ht="15" hidden="false" customHeight="true" outlineLevel="0" collapsed="false">
      <c r="A69" s="78" t="s">
        <v>270</v>
      </c>
      <c r="B69" s="14" t="s">
        <v>271</v>
      </c>
      <c r="C69" s="14" t="s">
        <v>272</v>
      </c>
      <c r="D69" s="14"/>
      <c r="E69" s="14"/>
      <c r="F69" s="14"/>
      <c r="G69" s="14" t="s">
        <v>111</v>
      </c>
      <c r="H69" s="79" t="n">
        <v>222</v>
      </c>
      <c r="I69" s="80" t="n">
        <v>0</v>
      </c>
      <c r="J69" s="79" t="n">
        <f aca="false">H69*AO69</f>
        <v>0</v>
      </c>
      <c r="K69" s="79" t="n">
        <f aca="false">H69*AP69</f>
        <v>0</v>
      </c>
      <c r="L69" s="79" t="n">
        <f aca="false">H69*I69</f>
        <v>0</v>
      </c>
      <c r="M69" s="81" t="s">
        <v>104</v>
      </c>
      <c r="N69" s="53"/>
      <c r="O69" s="53"/>
      <c r="P69" s="53"/>
      <c r="Q69" s="53"/>
      <c r="R69" s="53"/>
      <c r="S69" s="53"/>
      <c r="T69" s="53"/>
      <c r="U69" s="53"/>
      <c r="V69" s="53"/>
      <c r="W69" s="53"/>
      <c r="X69" s="53"/>
      <c r="Y69" s="51"/>
      <c r="Z69" s="82" t="n">
        <f aca="false">IF(AQ69="5",BJ69,0)</f>
        <v>0</v>
      </c>
      <c r="AA69" s="51"/>
      <c r="AB69" s="82" t="n">
        <f aca="false">IF(AQ69="1",BH69,0)</f>
        <v>0</v>
      </c>
      <c r="AC69" s="82" t="n">
        <f aca="false">IF(AQ69="1",BI69,0)</f>
        <v>0</v>
      </c>
      <c r="AD69" s="82" t="n">
        <f aca="false">IF(AQ69="7",BH69,0)</f>
        <v>0</v>
      </c>
      <c r="AE69" s="82" t="n">
        <f aca="false">IF(AQ69="7",BI69,0)</f>
        <v>0</v>
      </c>
      <c r="AF69" s="82" t="n">
        <f aca="false">IF(AQ69="2",BH69,0)</f>
        <v>0</v>
      </c>
      <c r="AG69" s="82" t="n">
        <f aca="false">IF(AQ69="2",BI69,0)</f>
        <v>0</v>
      </c>
      <c r="AH69" s="82" t="n">
        <f aca="false">IF(AQ69="0",BJ69,0)</f>
        <v>0</v>
      </c>
      <c r="AI69" s="64" t="s">
        <v>99</v>
      </c>
      <c r="AJ69" s="82" t="n">
        <f aca="false">IF(AN69=0,L69,0)</f>
        <v>0</v>
      </c>
      <c r="AK69" s="82" t="n">
        <f aca="false">IF(AN69=15,L69,0)</f>
        <v>0</v>
      </c>
      <c r="AL69" s="82" t="n">
        <f aca="false">IF(AN69=21,L69,0)</f>
        <v>0</v>
      </c>
      <c r="AM69" s="51"/>
      <c r="AN69" s="82" t="n">
        <v>21</v>
      </c>
      <c r="AO69" s="82" t="n">
        <f aca="false">I69*0.0221698113207547</f>
        <v>0</v>
      </c>
      <c r="AP69" s="82" t="n">
        <f aca="false">I69*(1-0.0221698113207547)</f>
        <v>0</v>
      </c>
      <c r="AQ69" s="83" t="s">
        <v>132</v>
      </c>
      <c r="AR69" s="51"/>
      <c r="AS69" s="51"/>
      <c r="AT69" s="51"/>
      <c r="AU69" s="51"/>
      <c r="AV69" s="82" t="n">
        <f aca="false">AW69+AX69</f>
        <v>0</v>
      </c>
      <c r="AW69" s="82" t="n">
        <f aca="false">H69*AO69</f>
        <v>0</v>
      </c>
      <c r="AX69" s="82" t="n">
        <f aca="false">H69*AP69</f>
        <v>0</v>
      </c>
      <c r="AY69" s="83" t="s">
        <v>140</v>
      </c>
      <c r="AZ69" s="83" t="s">
        <v>141</v>
      </c>
      <c r="BA69" s="64" t="s">
        <v>107</v>
      </c>
      <c r="BB69" s="51"/>
      <c r="BC69" s="82" t="n">
        <f aca="false">AW69+AX69</f>
        <v>0</v>
      </c>
      <c r="BD69" s="82" t="n">
        <f aca="false">I69/(100-BE69)*100</f>
        <v>0</v>
      </c>
      <c r="BE69" s="82" t="n">
        <v>0</v>
      </c>
      <c r="BF69" s="82" t="n">
        <f aca="false">69</f>
        <v>69</v>
      </c>
      <c r="BG69" s="51"/>
      <c r="BH69" s="82" t="n">
        <f aca="false">H69*AO69</f>
        <v>0</v>
      </c>
      <c r="BI69" s="82" t="n">
        <f aca="false">H69*AP69</f>
        <v>0</v>
      </c>
      <c r="BJ69" s="82" t="n">
        <f aca="false">H69*I69</f>
        <v>0</v>
      </c>
      <c r="BK69" s="82"/>
      <c r="BL69" s="82" t="n">
        <v>722</v>
      </c>
    </row>
    <row r="70" customFormat="false" ht="15" hidden="false" customHeight="true" outlineLevel="0" collapsed="false">
      <c r="A70" s="78" t="s">
        <v>273</v>
      </c>
      <c r="B70" s="14" t="s">
        <v>274</v>
      </c>
      <c r="C70" s="14" t="s">
        <v>275</v>
      </c>
      <c r="D70" s="14"/>
      <c r="E70" s="14"/>
      <c r="F70" s="14"/>
      <c r="G70" s="14" t="s">
        <v>111</v>
      </c>
      <c r="H70" s="79" t="n">
        <v>77</v>
      </c>
      <c r="I70" s="80" t="n">
        <v>0</v>
      </c>
      <c r="J70" s="79" t="n">
        <f aca="false">H70*AO70</f>
        <v>0</v>
      </c>
      <c r="K70" s="79" t="n">
        <f aca="false">H70*AP70</f>
        <v>0</v>
      </c>
      <c r="L70" s="79" t="n">
        <f aca="false">H70*I70</f>
        <v>0</v>
      </c>
      <c r="M70" s="81" t="s">
        <v>104</v>
      </c>
      <c r="N70" s="53"/>
      <c r="O70" s="53"/>
      <c r="P70" s="53"/>
      <c r="Q70" s="53"/>
      <c r="R70" s="53"/>
      <c r="S70" s="53"/>
      <c r="T70" s="53"/>
      <c r="U70" s="53"/>
      <c r="V70" s="53"/>
      <c r="W70" s="53"/>
      <c r="X70" s="53"/>
      <c r="Y70" s="51"/>
      <c r="Z70" s="82" t="n">
        <f aca="false">IF(AQ70="5",BJ70,0)</f>
        <v>0</v>
      </c>
      <c r="AA70" s="51"/>
      <c r="AB70" s="82" t="n">
        <f aca="false">IF(AQ70="1",BH70,0)</f>
        <v>0</v>
      </c>
      <c r="AC70" s="82" t="n">
        <f aca="false">IF(AQ70="1",BI70,0)</f>
        <v>0</v>
      </c>
      <c r="AD70" s="82" t="n">
        <f aca="false">IF(AQ70="7",BH70,0)</f>
        <v>0</v>
      </c>
      <c r="AE70" s="82" t="n">
        <f aca="false">IF(AQ70="7",BI70,0)</f>
        <v>0</v>
      </c>
      <c r="AF70" s="82" t="n">
        <f aca="false">IF(AQ70="2",BH70,0)</f>
        <v>0</v>
      </c>
      <c r="AG70" s="82" t="n">
        <f aca="false">IF(AQ70="2",BI70,0)</f>
        <v>0</v>
      </c>
      <c r="AH70" s="82" t="n">
        <f aca="false">IF(AQ70="0",BJ70,0)</f>
        <v>0</v>
      </c>
      <c r="AI70" s="64" t="s">
        <v>99</v>
      </c>
      <c r="AJ70" s="82" t="n">
        <f aca="false">IF(AN70=0,L70,0)</f>
        <v>0</v>
      </c>
      <c r="AK70" s="82" t="n">
        <f aca="false">IF(AN70=15,L70,0)</f>
        <v>0</v>
      </c>
      <c r="AL70" s="82" t="n">
        <f aca="false">IF(AN70=21,L70,0)</f>
        <v>0</v>
      </c>
      <c r="AM70" s="51"/>
      <c r="AN70" s="82" t="n">
        <v>21</v>
      </c>
      <c r="AO70" s="82" t="n">
        <f aca="false">I70*0.147761260658006</f>
        <v>0</v>
      </c>
      <c r="AP70" s="82" t="n">
        <f aca="false">I70*(1-0.147761260658006)</f>
        <v>0</v>
      </c>
      <c r="AQ70" s="83" t="s">
        <v>132</v>
      </c>
      <c r="AR70" s="51"/>
      <c r="AS70" s="51"/>
      <c r="AT70" s="51"/>
      <c r="AU70" s="51"/>
      <c r="AV70" s="82" t="n">
        <f aca="false">AW70+AX70</f>
        <v>0</v>
      </c>
      <c r="AW70" s="82" t="n">
        <f aca="false">H70*AO70</f>
        <v>0</v>
      </c>
      <c r="AX70" s="82" t="n">
        <f aca="false">H70*AP70</f>
        <v>0</v>
      </c>
      <c r="AY70" s="83" t="s">
        <v>140</v>
      </c>
      <c r="AZ70" s="83" t="s">
        <v>141</v>
      </c>
      <c r="BA70" s="64" t="s">
        <v>107</v>
      </c>
      <c r="BB70" s="51"/>
      <c r="BC70" s="82" t="n">
        <f aca="false">AW70+AX70</f>
        <v>0</v>
      </c>
      <c r="BD70" s="82" t="n">
        <f aca="false">I70/(100-BE70)*100</f>
        <v>0</v>
      </c>
      <c r="BE70" s="82" t="n">
        <v>0</v>
      </c>
      <c r="BF70" s="82" t="n">
        <f aca="false">70</f>
        <v>70</v>
      </c>
      <c r="BG70" s="51"/>
      <c r="BH70" s="82" t="n">
        <f aca="false">H70*AO70</f>
        <v>0</v>
      </c>
      <c r="BI70" s="82" t="n">
        <f aca="false">H70*AP70</f>
        <v>0</v>
      </c>
      <c r="BJ70" s="82" t="n">
        <f aca="false">H70*I70</f>
        <v>0</v>
      </c>
      <c r="BK70" s="82"/>
      <c r="BL70" s="82" t="n">
        <v>722</v>
      </c>
    </row>
    <row r="71" customFormat="false" ht="15" hidden="false" customHeight="true" outlineLevel="0" collapsed="false">
      <c r="A71" s="78" t="s">
        <v>276</v>
      </c>
      <c r="B71" s="14" t="s">
        <v>277</v>
      </c>
      <c r="C71" s="14" t="s">
        <v>278</v>
      </c>
      <c r="D71" s="14"/>
      <c r="E71" s="14"/>
      <c r="F71" s="14"/>
      <c r="G71" s="14" t="s">
        <v>111</v>
      </c>
      <c r="H71" s="79" t="n">
        <v>22</v>
      </c>
      <c r="I71" s="80" t="n">
        <v>0</v>
      </c>
      <c r="J71" s="79" t="n">
        <f aca="false">H71*AO71</f>
        <v>0</v>
      </c>
      <c r="K71" s="79" t="n">
        <f aca="false">H71*AP71</f>
        <v>0</v>
      </c>
      <c r="L71" s="79" t="n">
        <f aca="false">H71*I71</f>
        <v>0</v>
      </c>
      <c r="M71" s="81" t="s">
        <v>104</v>
      </c>
      <c r="N71" s="53"/>
      <c r="O71" s="53"/>
      <c r="P71" s="53"/>
      <c r="Q71" s="53"/>
      <c r="R71" s="53"/>
      <c r="S71" s="53"/>
      <c r="T71" s="53"/>
      <c r="U71" s="53"/>
      <c r="V71" s="53"/>
      <c r="W71" s="53"/>
      <c r="X71" s="53"/>
      <c r="Y71" s="51"/>
      <c r="Z71" s="82" t="n">
        <f aca="false">IF(AQ71="5",BJ71,0)</f>
        <v>0</v>
      </c>
      <c r="AA71" s="51"/>
      <c r="AB71" s="82" t="n">
        <f aca="false">IF(AQ71="1",BH71,0)</f>
        <v>0</v>
      </c>
      <c r="AC71" s="82" t="n">
        <f aca="false">IF(AQ71="1",BI71,0)</f>
        <v>0</v>
      </c>
      <c r="AD71" s="82" t="n">
        <f aca="false">IF(AQ71="7",BH71,0)</f>
        <v>0</v>
      </c>
      <c r="AE71" s="82" t="n">
        <f aca="false">IF(AQ71="7",BI71,0)</f>
        <v>0</v>
      </c>
      <c r="AF71" s="82" t="n">
        <f aca="false">IF(AQ71="2",BH71,0)</f>
        <v>0</v>
      </c>
      <c r="AG71" s="82" t="n">
        <f aca="false">IF(AQ71="2",BI71,0)</f>
        <v>0</v>
      </c>
      <c r="AH71" s="82" t="n">
        <f aca="false">IF(AQ71="0",BJ71,0)</f>
        <v>0</v>
      </c>
      <c r="AI71" s="64" t="s">
        <v>99</v>
      </c>
      <c r="AJ71" s="82" t="n">
        <f aca="false">IF(AN71=0,L71,0)</f>
        <v>0</v>
      </c>
      <c r="AK71" s="82" t="n">
        <f aca="false">IF(AN71=15,L71,0)</f>
        <v>0</v>
      </c>
      <c r="AL71" s="82" t="n">
        <f aca="false">IF(AN71=21,L71,0)</f>
        <v>0</v>
      </c>
      <c r="AM71" s="51"/>
      <c r="AN71" s="82" t="n">
        <v>21</v>
      </c>
      <c r="AO71" s="82" t="n">
        <f aca="false">I71*0.81990159901599</f>
        <v>0</v>
      </c>
      <c r="AP71" s="82" t="n">
        <f aca="false">I71*(1-0.81990159901599)</f>
        <v>0</v>
      </c>
      <c r="AQ71" s="83" t="s">
        <v>132</v>
      </c>
      <c r="AR71" s="51"/>
      <c r="AS71" s="51"/>
      <c r="AT71" s="51"/>
      <c r="AU71" s="51"/>
      <c r="AV71" s="82" t="n">
        <f aca="false">AW71+AX71</f>
        <v>0</v>
      </c>
      <c r="AW71" s="82" t="n">
        <f aca="false">H71*AO71</f>
        <v>0</v>
      </c>
      <c r="AX71" s="82" t="n">
        <f aca="false">H71*AP71</f>
        <v>0</v>
      </c>
      <c r="AY71" s="83" t="s">
        <v>140</v>
      </c>
      <c r="AZ71" s="83" t="s">
        <v>141</v>
      </c>
      <c r="BA71" s="64" t="s">
        <v>107</v>
      </c>
      <c r="BB71" s="51"/>
      <c r="BC71" s="82" t="n">
        <f aca="false">AW71+AX71</f>
        <v>0</v>
      </c>
      <c r="BD71" s="82" t="n">
        <f aca="false">I71/(100-BE71)*100</f>
        <v>0</v>
      </c>
      <c r="BE71" s="82" t="n">
        <v>0</v>
      </c>
      <c r="BF71" s="82" t="n">
        <f aca="false">71</f>
        <v>71</v>
      </c>
      <c r="BG71" s="51"/>
      <c r="BH71" s="82" t="n">
        <f aca="false">H71*AO71</f>
        <v>0</v>
      </c>
      <c r="BI71" s="82" t="n">
        <f aca="false">H71*AP71</f>
        <v>0</v>
      </c>
      <c r="BJ71" s="82" t="n">
        <f aca="false">H71*I71</f>
        <v>0</v>
      </c>
      <c r="BK71" s="82"/>
      <c r="BL71" s="82" t="n">
        <v>722</v>
      </c>
    </row>
    <row r="72" customFormat="false" ht="15" hidden="false" customHeight="true" outlineLevel="0" collapsed="false">
      <c r="A72" s="78" t="s">
        <v>279</v>
      </c>
      <c r="B72" s="14" t="s">
        <v>280</v>
      </c>
      <c r="C72" s="14" t="s">
        <v>281</v>
      </c>
      <c r="D72" s="14"/>
      <c r="E72" s="14"/>
      <c r="F72" s="14"/>
      <c r="G72" s="14" t="s">
        <v>111</v>
      </c>
      <c r="H72" s="79" t="n">
        <v>12</v>
      </c>
      <c r="I72" s="80" t="n">
        <v>0</v>
      </c>
      <c r="J72" s="79" t="n">
        <f aca="false">H72*AO72</f>
        <v>0</v>
      </c>
      <c r="K72" s="79" t="n">
        <f aca="false">H72*AP72</f>
        <v>0</v>
      </c>
      <c r="L72" s="79" t="n">
        <f aca="false">H72*I72</f>
        <v>0</v>
      </c>
      <c r="M72" s="81" t="s">
        <v>104</v>
      </c>
      <c r="N72" s="53"/>
      <c r="O72" s="53"/>
      <c r="P72" s="53"/>
      <c r="Q72" s="53"/>
      <c r="R72" s="53"/>
      <c r="S72" s="53"/>
      <c r="T72" s="53"/>
      <c r="U72" s="53"/>
      <c r="V72" s="53"/>
      <c r="W72" s="53"/>
      <c r="X72" s="53"/>
      <c r="Y72" s="51"/>
      <c r="Z72" s="82" t="n">
        <f aca="false">IF(AQ72="5",BJ72,0)</f>
        <v>0</v>
      </c>
      <c r="AA72" s="51"/>
      <c r="AB72" s="82" t="n">
        <f aca="false">IF(AQ72="1",BH72,0)</f>
        <v>0</v>
      </c>
      <c r="AC72" s="82" t="n">
        <f aca="false">IF(AQ72="1",BI72,0)</f>
        <v>0</v>
      </c>
      <c r="AD72" s="82" t="n">
        <f aca="false">IF(AQ72="7",BH72,0)</f>
        <v>0</v>
      </c>
      <c r="AE72" s="82" t="n">
        <f aca="false">IF(AQ72="7",BI72,0)</f>
        <v>0</v>
      </c>
      <c r="AF72" s="82" t="n">
        <f aca="false">IF(AQ72="2",BH72,0)</f>
        <v>0</v>
      </c>
      <c r="AG72" s="82" t="n">
        <f aca="false">IF(AQ72="2",BI72,0)</f>
        <v>0</v>
      </c>
      <c r="AH72" s="82" t="n">
        <f aca="false">IF(AQ72="0",BJ72,0)</f>
        <v>0</v>
      </c>
      <c r="AI72" s="64" t="s">
        <v>99</v>
      </c>
      <c r="AJ72" s="82" t="n">
        <f aca="false">IF(AN72=0,L72,0)</f>
        <v>0</v>
      </c>
      <c r="AK72" s="82" t="n">
        <f aca="false">IF(AN72=15,L72,0)</f>
        <v>0</v>
      </c>
      <c r="AL72" s="82" t="n">
        <f aca="false">IF(AN72=21,L72,0)</f>
        <v>0</v>
      </c>
      <c r="AM72" s="51"/>
      <c r="AN72" s="82" t="n">
        <v>21</v>
      </c>
      <c r="AO72" s="82" t="n">
        <f aca="false">I72*0.773681318681319</f>
        <v>0</v>
      </c>
      <c r="AP72" s="82" t="n">
        <f aca="false">I72*(1-0.773681318681319)</f>
        <v>0</v>
      </c>
      <c r="AQ72" s="83" t="s">
        <v>132</v>
      </c>
      <c r="AR72" s="51"/>
      <c r="AS72" s="51"/>
      <c r="AT72" s="51"/>
      <c r="AU72" s="51"/>
      <c r="AV72" s="82" t="n">
        <f aca="false">AW72+AX72</f>
        <v>0</v>
      </c>
      <c r="AW72" s="82" t="n">
        <f aca="false">H72*AO72</f>
        <v>0</v>
      </c>
      <c r="AX72" s="82" t="n">
        <f aca="false">H72*AP72</f>
        <v>0</v>
      </c>
      <c r="AY72" s="83" t="s">
        <v>140</v>
      </c>
      <c r="AZ72" s="83" t="s">
        <v>141</v>
      </c>
      <c r="BA72" s="64" t="s">
        <v>107</v>
      </c>
      <c r="BB72" s="51"/>
      <c r="BC72" s="82" t="n">
        <f aca="false">AW72+AX72</f>
        <v>0</v>
      </c>
      <c r="BD72" s="82" t="n">
        <f aca="false">I72/(100-BE72)*100</f>
        <v>0</v>
      </c>
      <c r="BE72" s="82" t="n">
        <v>0</v>
      </c>
      <c r="BF72" s="82" t="n">
        <f aca="false">72</f>
        <v>72</v>
      </c>
      <c r="BG72" s="51"/>
      <c r="BH72" s="82" t="n">
        <f aca="false">H72*AO72</f>
        <v>0</v>
      </c>
      <c r="BI72" s="82" t="n">
        <f aca="false">H72*AP72</f>
        <v>0</v>
      </c>
      <c r="BJ72" s="82" t="n">
        <f aca="false">H72*I72</f>
        <v>0</v>
      </c>
      <c r="BK72" s="82"/>
      <c r="BL72" s="82" t="n">
        <v>722</v>
      </c>
    </row>
    <row r="73" customFormat="false" ht="15" hidden="false" customHeight="true" outlineLevel="0" collapsed="false">
      <c r="A73" s="78" t="s">
        <v>282</v>
      </c>
      <c r="B73" s="14" t="s">
        <v>283</v>
      </c>
      <c r="C73" s="14" t="s">
        <v>284</v>
      </c>
      <c r="D73" s="14"/>
      <c r="E73" s="14"/>
      <c r="F73" s="14"/>
      <c r="G73" s="14" t="s">
        <v>111</v>
      </c>
      <c r="H73" s="79" t="n">
        <v>52</v>
      </c>
      <c r="I73" s="80" t="n">
        <v>0</v>
      </c>
      <c r="J73" s="79" t="n">
        <f aca="false">H73*AO73</f>
        <v>0</v>
      </c>
      <c r="K73" s="79" t="n">
        <f aca="false">H73*AP73</f>
        <v>0</v>
      </c>
      <c r="L73" s="79" t="n">
        <f aca="false">H73*I73</f>
        <v>0</v>
      </c>
      <c r="M73" s="81" t="s">
        <v>104</v>
      </c>
      <c r="N73" s="53"/>
      <c r="O73" s="53"/>
      <c r="P73" s="53"/>
      <c r="Q73" s="53"/>
      <c r="R73" s="53"/>
      <c r="S73" s="53"/>
      <c r="T73" s="53"/>
      <c r="U73" s="53"/>
      <c r="V73" s="53"/>
      <c r="W73" s="53"/>
      <c r="X73" s="53"/>
      <c r="Y73" s="51"/>
      <c r="Z73" s="82" t="n">
        <f aca="false">IF(AQ73="5",BJ73,0)</f>
        <v>0</v>
      </c>
      <c r="AA73" s="51"/>
      <c r="AB73" s="82" t="n">
        <f aca="false">IF(AQ73="1",BH73,0)</f>
        <v>0</v>
      </c>
      <c r="AC73" s="82" t="n">
        <f aca="false">IF(AQ73="1",BI73,0)</f>
        <v>0</v>
      </c>
      <c r="AD73" s="82" t="n">
        <f aca="false">IF(AQ73="7",BH73,0)</f>
        <v>0</v>
      </c>
      <c r="AE73" s="82" t="n">
        <f aca="false">IF(AQ73="7",BI73,0)</f>
        <v>0</v>
      </c>
      <c r="AF73" s="82" t="n">
        <f aca="false">IF(AQ73="2",BH73,0)</f>
        <v>0</v>
      </c>
      <c r="AG73" s="82" t="n">
        <f aca="false">IF(AQ73="2",BI73,0)</f>
        <v>0</v>
      </c>
      <c r="AH73" s="82" t="n">
        <f aca="false">IF(AQ73="0",BJ73,0)</f>
        <v>0</v>
      </c>
      <c r="AI73" s="64" t="s">
        <v>99</v>
      </c>
      <c r="AJ73" s="82" t="n">
        <f aca="false">IF(AN73=0,L73,0)</f>
        <v>0</v>
      </c>
      <c r="AK73" s="82" t="n">
        <f aca="false">IF(AN73=15,L73,0)</f>
        <v>0</v>
      </c>
      <c r="AL73" s="82" t="n">
        <f aca="false">IF(AN73=21,L73,0)</f>
        <v>0</v>
      </c>
      <c r="AM73" s="51"/>
      <c r="AN73" s="82" t="n">
        <v>21</v>
      </c>
      <c r="AO73" s="82" t="n">
        <f aca="false">I73*0.68436974789916</f>
        <v>0</v>
      </c>
      <c r="AP73" s="82" t="n">
        <f aca="false">I73*(1-0.68436974789916)</f>
        <v>0</v>
      </c>
      <c r="AQ73" s="83" t="s">
        <v>132</v>
      </c>
      <c r="AR73" s="51"/>
      <c r="AS73" s="51"/>
      <c r="AT73" s="51"/>
      <c r="AU73" s="51"/>
      <c r="AV73" s="82" t="n">
        <f aca="false">AW73+AX73</f>
        <v>0</v>
      </c>
      <c r="AW73" s="82" t="n">
        <f aca="false">H73*AO73</f>
        <v>0</v>
      </c>
      <c r="AX73" s="82" t="n">
        <f aca="false">H73*AP73</f>
        <v>0</v>
      </c>
      <c r="AY73" s="83" t="s">
        <v>140</v>
      </c>
      <c r="AZ73" s="83" t="s">
        <v>141</v>
      </c>
      <c r="BA73" s="64" t="s">
        <v>107</v>
      </c>
      <c r="BB73" s="51"/>
      <c r="BC73" s="82" t="n">
        <f aca="false">AW73+AX73</f>
        <v>0</v>
      </c>
      <c r="BD73" s="82" t="n">
        <f aca="false">I73/(100-BE73)*100</f>
        <v>0</v>
      </c>
      <c r="BE73" s="82" t="n">
        <v>0</v>
      </c>
      <c r="BF73" s="82" t="n">
        <f aca="false">73</f>
        <v>73</v>
      </c>
      <c r="BG73" s="51"/>
      <c r="BH73" s="82" t="n">
        <f aca="false">H73*AO73</f>
        <v>0</v>
      </c>
      <c r="BI73" s="82" t="n">
        <f aca="false">H73*AP73</f>
        <v>0</v>
      </c>
      <c r="BJ73" s="82" t="n">
        <f aca="false">H73*I73</f>
        <v>0</v>
      </c>
      <c r="BK73" s="82"/>
      <c r="BL73" s="82" t="n">
        <v>722</v>
      </c>
    </row>
    <row r="74" customFormat="false" ht="15" hidden="false" customHeight="true" outlineLevel="0" collapsed="false">
      <c r="A74" s="78" t="s">
        <v>285</v>
      </c>
      <c r="B74" s="14" t="s">
        <v>286</v>
      </c>
      <c r="C74" s="14" t="s">
        <v>287</v>
      </c>
      <c r="D74" s="14"/>
      <c r="E74" s="14"/>
      <c r="F74" s="14"/>
      <c r="G74" s="14" t="s">
        <v>111</v>
      </c>
      <c r="H74" s="79" t="n">
        <v>22</v>
      </c>
      <c r="I74" s="80" t="n">
        <v>0</v>
      </c>
      <c r="J74" s="79" t="n">
        <f aca="false">H74*AO74</f>
        <v>0</v>
      </c>
      <c r="K74" s="79" t="n">
        <f aca="false">H74*AP74</f>
        <v>0</v>
      </c>
      <c r="L74" s="79" t="n">
        <f aca="false">H74*I74</f>
        <v>0</v>
      </c>
      <c r="M74" s="81" t="s">
        <v>104</v>
      </c>
      <c r="N74" s="53"/>
      <c r="O74" s="53"/>
      <c r="P74" s="53"/>
      <c r="Q74" s="53"/>
      <c r="R74" s="53"/>
      <c r="S74" s="53"/>
      <c r="T74" s="53"/>
      <c r="U74" s="53"/>
      <c r="V74" s="53"/>
      <c r="W74" s="53"/>
      <c r="X74" s="53"/>
      <c r="Y74" s="51"/>
      <c r="Z74" s="82" t="n">
        <f aca="false">IF(AQ74="5",BJ74,0)</f>
        <v>0</v>
      </c>
      <c r="AA74" s="51"/>
      <c r="AB74" s="82" t="n">
        <f aca="false">IF(AQ74="1",BH74,0)</f>
        <v>0</v>
      </c>
      <c r="AC74" s="82" t="n">
        <f aca="false">IF(AQ74="1",BI74,0)</f>
        <v>0</v>
      </c>
      <c r="AD74" s="82" t="n">
        <f aca="false">IF(AQ74="7",BH74,0)</f>
        <v>0</v>
      </c>
      <c r="AE74" s="82" t="n">
        <f aca="false">IF(AQ74="7",BI74,0)</f>
        <v>0</v>
      </c>
      <c r="AF74" s="82" t="n">
        <f aca="false">IF(AQ74="2",BH74,0)</f>
        <v>0</v>
      </c>
      <c r="AG74" s="82" t="n">
        <f aca="false">IF(AQ74="2",BI74,0)</f>
        <v>0</v>
      </c>
      <c r="AH74" s="82" t="n">
        <f aca="false">IF(AQ74="0",BJ74,0)</f>
        <v>0</v>
      </c>
      <c r="AI74" s="64" t="s">
        <v>99</v>
      </c>
      <c r="AJ74" s="82" t="n">
        <f aca="false">IF(AN74=0,L74,0)</f>
        <v>0</v>
      </c>
      <c r="AK74" s="82" t="n">
        <f aca="false">IF(AN74=15,L74,0)</f>
        <v>0</v>
      </c>
      <c r="AL74" s="82" t="n">
        <f aca="false">IF(AN74=21,L74,0)</f>
        <v>0</v>
      </c>
      <c r="AM74" s="51"/>
      <c r="AN74" s="82" t="n">
        <v>21</v>
      </c>
      <c r="AO74" s="82" t="n">
        <f aca="false">I74*0.825065710872163</f>
        <v>0</v>
      </c>
      <c r="AP74" s="82" t="n">
        <f aca="false">I74*(1-0.825065710872163)</f>
        <v>0</v>
      </c>
      <c r="AQ74" s="83" t="s">
        <v>132</v>
      </c>
      <c r="AR74" s="51"/>
      <c r="AS74" s="51"/>
      <c r="AT74" s="51"/>
      <c r="AU74" s="51"/>
      <c r="AV74" s="82" t="n">
        <f aca="false">AW74+AX74</f>
        <v>0</v>
      </c>
      <c r="AW74" s="82" t="n">
        <f aca="false">H74*AO74</f>
        <v>0</v>
      </c>
      <c r="AX74" s="82" t="n">
        <f aca="false">H74*AP74</f>
        <v>0</v>
      </c>
      <c r="AY74" s="83" t="s">
        <v>140</v>
      </c>
      <c r="AZ74" s="83" t="s">
        <v>141</v>
      </c>
      <c r="BA74" s="64" t="s">
        <v>107</v>
      </c>
      <c r="BB74" s="51"/>
      <c r="BC74" s="82" t="n">
        <f aca="false">AW74+AX74</f>
        <v>0</v>
      </c>
      <c r="BD74" s="82" t="n">
        <f aca="false">I74/(100-BE74)*100</f>
        <v>0</v>
      </c>
      <c r="BE74" s="82" t="n">
        <v>0</v>
      </c>
      <c r="BF74" s="82" t="n">
        <f aca="false">74</f>
        <v>74</v>
      </c>
      <c r="BG74" s="51"/>
      <c r="BH74" s="82" t="n">
        <f aca="false">H74*AO74</f>
        <v>0</v>
      </c>
      <c r="BI74" s="82" t="n">
        <f aca="false">H74*AP74</f>
        <v>0</v>
      </c>
      <c r="BJ74" s="82" t="n">
        <f aca="false">H74*I74</f>
        <v>0</v>
      </c>
      <c r="BK74" s="82"/>
      <c r="BL74" s="82" t="n">
        <v>722</v>
      </c>
    </row>
    <row r="75" customFormat="false" ht="15" hidden="false" customHeight="true" outlineLevel="0" collapsed="false">
      <c r="A75" s="78" t="s">
        <v>288</v>
      </c>
      <c r="B75" s="14" t="s">
        <v>289</v>
      </c>
      <c r="C75" s="14" t="s">
        <v>290</v>
      </c>
      <c r="D75" s="14"/>
      <c r="E75" s="14"/>
      <c r="F75" s="14"/>
      <c r="G75" s="14" t="s">
        <v>111</v>
      </c>
      <c r="H75" s="79" t="n">
        <v>10</v>
      </c>
      <c r="I75" s="80" t="n">
        <v>0</v>
      </c>
      <c r="J75" s="79" t="n">
        <f aca="false">H75*AO75</f>
        <v>0</v>
      </c>
      <c r="K75" s="79" t="n">
        <f aca="false">H75*AP75</f>
        <v>0</v>
      </c>
      <c r="L75" s="79" t="n">
        <f aca="false">H75*I75</f>
        <v>0</v>
      </c>
      <c r="M75" s="81" t="s">
        <v>104</v>
      </c>
      <c r="N75" s="53"/>
      <c r="O75" s="53"/>
      <c r="P75" s="53"/>
      <c r="Q75" s="53"/>
      <c r="R75" s="53"/>
      <c r="S75" s="53"/>
      <c r="T75" s="53"/>
      <c r="U75" s="53"/>
      <c r="V75" s="53"/>
      <c r="W75" s="53"/>
      <c r="X75" s="53"/>
      <c r="Y75" s="51"/>
      <c r="Z75" s="82" t="n">
        <f aca="false">IF(AQ75="5",BJ75,0)</f>
        <v>0</v>
      </c>
      <c r="AA75" s="51"/>
      <c r="AB75" s="82" t="n">
        <f aca="false">IF(AQ75="1",BH75,0)</f>
        <v>0</v>
      </c>
      <c r="AC75" s="82" t="n">
        <f aca="false">IF(AQ75="1",BI75,0)</f>
        <v>0</v>
      </c>
      <c r="AD75" s="82" t="n">
        <f aca="false">IF(AQ75="7",BH75,0)</f>
        <v>0</v>
      </c>
      <c r="AE75" s="82" t="n">
        <f aca="false">IF(AQ75="7",BI75,0)</f>
        <v>0</v>
      </c>
      <c r="AF75" s="82" t="n">
        <f aca="false">IF(AQ75="2",BH75,0)</f>
        <v>0</v>
      </c>
      <c r="AG75" s="82" t="n">
        <f aca="false">IF(AQ75="2",BI75,0)</f>
        <v>0</v>
      </c>
      <c r="AH75" s="82" t="n">
        <f aca="false">IF(AQ75="0",BJ75,0)</f>
        <v>0</v>
      </c>
      <c r="AI75" s="64" t="s">
        <v>99</v>
      </c>
      <c r="AJ75" s="82" t="n">
        <f aca="false">IF(AN75=0,L75,0)</f>
        <v>0</v>
      </c>
      <c r="AK75" s="82" t="n">
        <f aca="false">IF(AN75=15,L75,0)</f>
        <v>0</v>
      </c>
      <c r="AL75" s="82" t="n">
        <f aca="false">IF(AN75=21,L75,0)</f>
        <v>0</v>
      </c>
      <c r="AM75" s="51"/>
      <c r="AN75" s="82" t="n">
        <v>21</v>
      </c>
      <c r="AO75" s="82" t="n">
        <f aca="false">I75*0.807523364485981</f>
        <v>0</v>
      </c>
      <c r="AP75" s="82" t="n">
        <f aca="false">I75*(1-0.807523364485981)</f>
        <v>0</v>
      </c>
      <c r="AQ75" s="83" t="s">
        <v>132</v>
      </c>
      <c r="AR75" s="51"/>
      <c r="AS75" s="51"/>
      <c r="AT75" s="51"/>
      <c r="AU75" s="51"/>
      <c r="AV75" s="82" t="n">
        <f aca="false">AW75+AX75</f>
        <v>0</v>
      </c>
      <c r="AW75" s="82" t="n">
        <f aca="false">H75*AO75</f>
        <v>0</v>
      </c>
      <c r="AX75" s="82" t="n">
        <f aca="false">H75*AP75</f>
        <v>0</v>
      </c>
      <c r="AY75" s="83" t="s">
        <v>140</v>
      </c>
      <c r="AZ75" s="83" t="s">
        <v>141</v>
      </c>
      <c r="BA75" s="64" t="s">
        <v>107</v>
      </c>
      <c r="BB75" s="51"/>
      <c r="BC75" s="82" t="n">
        <f aca="false">AW75+AX75</f>
        <v>0</v>
      </c>
      <c r="BD75" s="82" t="n">
        <f aca="false">I75/(100-BE75)*100</f>
        <v>0</v>
      </c>
      <c r="BE75" s="82" t="n">
        <v>0</v>
      </c>
      <c r="BF75" s="82" t="n">
        <f aca="false">75</f>
        <v>75</v>
      </c>
      <c r="BG75" s="51"/>
      <c r="BH75" s="82" t="n">
        <f aca="false">H75*AO75</f>
        <v>0</v>
      </c>
      <c r="BI75" s="82" t="n">
        <f aca="false">H75*AP75</f>
        <v>0</v>
      </c>
      <c r="BJ75" s="82" t="n">
        <f aca="false">H75*I75</f>
        <v>0</v>
      </c>
      <c r="BK75" s="82"/>
      <c r="BL75" s="82" t="n">
        <v>722</v>
      </c>
    </row>
    <row r="76" customFormat="false" ht="15" hidden="false" customHeight="true" outlineLevel="0" collapsed="false">
      <c r="A76" s="78" t="s">
        <v>291</v>
      </c>
      <c r="B76" s="14" t="s">
        <v>292</v>
      </c>
      <c r="C76" s="14" t="s">
        <v>293</v>
      </c>
      <c r="D76" s="14"/>
      <c r="E76" s="14"/>
      <c r="F76" s="14"/>
      <c r="G76" s="14" t="s">
        <v>111</v>
      </c>
      <c r="H76" s="79" t="n">
        <v>22</v>
      </c>
      <c r="I76" s="80" t="n">
        <v>0</v>
      </c>
      <c r="J76" s="79" t="n">
        <f aca="false">H76*AO76</f>
        <v>0</v>
      </c>
      <c r="K76" s="79" t="n">
        <f aca="false">H76*AP76</f>
        <v>0</v>
      </c>
      <c r="L76" s="79" t="n">
        <f aca="false">H76*I76</f>
        <v>0</v>
      </c>
      <c r="M76" s="81" t="s">
        <v>104</v>
      </c>
      <c r="N76" s="53"/>
      <c r="O76" s="53"/>
      <c r="P76" s="53"/>
      <c r="Q76" s="53"/>
      <c r="R76" s="53"/>
      <c r="S76" s="53"/>
      <c r="T76" s="53"/>
      <c r="U76" s="53"/>
      <c r="V76" s="53"/>
      <c r="W76" s="53"/>
      <c r="X76" s="53"/>
      <c r="Y76" s="51"/>
      <c r="Z76" s="82" t="n">
        <f aca="false">IF(AQ76="5",BJ76,0)</f>
        <v>0</v>
      </c>
      <c r="AA76" s="51"/>
      <c r="AB76" s="82" t="n">
        <f aca="false">IF(AQ76="1",BH76,0)</f>
        <v>0</v>
      </c>
      <c r="AC76" s="82" t="n">
        <f aca="false">IF(AQ76="1",BI76,0)</f>
        <v>0</v>
      </c>
      <c r="AD76" s="82" t="n">
        <f aca="false">IF(AQ76="7",BH76,0)</f>
        <v>0</v>
      </c>
      <c r="AE76" s="82" t="n">
        <f aca="false">IF(AQ76="7",BI76,0)</f>
        <v>0</v>
      </c>
      <c r="AF76" s="82" t="n">
        <f aca="false">IF(AQ76="2",BH76,0)</f>
        <v>0</v>
      </c>
      <c r="AG76" s="82" t="n">
        <f aca="false">IF(AQ76="2",BI76,0)</f>
        <v>0</v>
      </c>
      <c r="AH76" s="82" t="n">
        <f aca="false">IF(AQ76="0",BJ76,0)</f>
        <v>0</v>
      </c>
      <c r="AI76" s="64" t="s">
        <v>99</v>
      </c>
      <c r="AJ76" s="82" t="n">
        <f aca="false">IF(AN76=0,L76,0)</f>
        <v>0</v>
      </c>
      <c r="AK76" s="82" t="n">
        <f aca="false">IF(AN76=15,L76,0)</f>
        <v>0</v>
      </c>
      <c r="AL76" s="82" t="n">
        <f aca="false">IF(AN76=21,L76,0)</f>
        <v>0</v>
      </c>
      <c r="AM76" s="51"/>
      <c r="AN76" s="82" t="n">
        <v>21</v>
      </c>
      <c r="AO76" s="82" t="n">
        <f aca="false">I76*0.856034482758621</f>
        <v>0</v>
      </c>
      <c r="AP76" s="82" t="n">
        <f aca="false">I76*(1-0.856034482758621)</f>
        <v>0</v>
      </c>
      <c r="AQ76" s="83" t="s">
        <v>132</v>
      </c>
      <c r="AR76" s="51"/>
      <c r="AS76" s="51"/>
      <c r="AT76" s="51"/>
      <c r="AU76" s="51"/>
      <c r="AV76" s="82" t="n">
        <f aca="false">AW76+AX76</f>
        <v>0</v>
      </c>
      <c r="AW76" s="82" t="n">
        <f aca="false">H76*AO76</f>
        <v>0</v>
      </c>
      <c r="AX76" s="82" t="n">
        <f aca="false">H76*AP76</f>
        <v>0</v>
      </c>
      <c r="AY76" s="83" t="s">
        <v>140</v>
      </c>
      <c r="AZ76" s="83" t="s">
        <v>141</v>
      </c>
      <c r="BA76" s="64" t="s">
        <v>107</v>
      </c>
      <c r="BB76" s="51"/>
      <c r="BC76" s="82" t="n">
        <f aca="false">AW76+AX76</f>
        <v>0</v>
      </c>
      <c r="BD76" s="82" t="n">
        <f aca="false">I76/(100-BE76)*100</f>
        <v>0</v>
      </c>
      <c r="BE76" s="82" t="n">
        <v>0</v>
      </c>
      <c r="BF76" s="82" t="n">
        <f aca="false">76</f>
        <v>76</v>
      </c>
      <c r="BG76" s="51"/>
      <c r="BH76" s="82" t="n">
        <f aca="false">H76*AO76</f>
        <v>0</v>
      </c>
      <c r="BI76" s="82" t="n">
        <f aca="false">H76*AP76</f>
        <v>0</v>
      </c>
      <c r="BJ76" s="82" t="n">
        <f aca="false">H76*I76</f>
        <v>0</v>
      </c>
      <c r="BK76" s="82"/>
      <c r="BL76" s="82" t="n">
        <v>722</v>
      </c>
    </row>
    <row r="77" customFormat="false" ht="15" hidden="false" customHeight="true" outlineLevel="0" collapsed="false">
      <c r="A77" s="78" t="s">
        <v>294</v>
      </c>
      <c r="B77" s="14" t="s">
        <v>295</v>
      </c>
      <c r="C77" s="14" t="s">
        <v>296</v>
      </c>
      <c r="D77" s="14"/>
      <c r="E77" s="14"/>
      <c r="F77" s="14"/>
      <c r="G77" s="14" t="s">
        <v>111</v>
      </c>
      <c r="H77" s="79" t="n">
        <v>10</v>
      </c>
      <c r="I77" s="80" t="n">
        <v>0</v>
      </c>
      <c r="J77" s="79" t="n">
        <f aca="false">H77*AO77</f>
        <v>0</v>
      </c>
      <c r="K77" s="79" t="n">
        <f aca="false">H77*AP77</f>
        <v>0</v>
      </c>
      <c r="L77" s="79" t="n">
        <f aca="false">H77*I77</f>
        <v>0</v>
      </c>
      <c r="M77" s="81" t="s">
        <v>104</v>
      </c>
      <c r="N77" s="53"/>
      <c r="O77" s="53"/>
      <c r="P77" s="53"/>
      <c r="Q77" s="53"/>
      <c r="R77" s="53"/>
      <c r="S77" s="53"/>
      <c r="T77" s="53"/>
      <c r="U77" s="53"/>
      <c r="V77" s="53"/>
      <c r="W77" s="53"/>
      <c r="X77" s="53"/>
      <c r="Y77" s="51"/>
      <c r="Z77" s="82" t="n">
        <f aca="false">IF(AQ77="5",BJ77,0)</f>
        <v>0</v>
      </c>
      <c r="AA77" s="51"/>
      <c r="AB77" s="82" t="n">
        <f aca="false">IF(AQ77="1",BH77,0)</f>
        <v>0</v>
      </c>
      <c r="AC77" s="82" t="n">
        <f aca="false">IF(AQ77="1",BI77,0)</f>
        <v>0</v>
      </c>
      <c r="AD77" s="82" t="n">
        <f aca="false">IF(AQ77="7",BH77,0)</f>
        <v>0</v>
      </c>
      <c r="AE77" s="82" t="n">
        <f aca="false">IF(AQ77="7",BI77,0)</f>
        <v>0</v>
      </c>
      <c r="AF77" s="82" t="n">
        <f aca="false">IF(AQ77="2",BH77,0)</f>
        <v>0</v>
      </c>
      <c r="AG77" s="82" t="n">
        <f aca="false">IF(AQ77="2",BI77,0)</f>
        <v>0</v>
      </c>
      <c r="AH77" s="82" t="n">
        <f aca="false">IF(AQ77="0",BJ77,0)</f>
        <v>0</v>
      </c>
      <c r="AI77" s="64" t="s">
        <v>99</v>
      </c>
      <c r="AJ77" s="82" t="n">
        <f aca="false">IF(AN77=0,L77,0)</f>
        <v>0</v>
      </c>
      <c r="AK77" s="82" t="n">
        <f aca="false">IF(AN77=15,L77,0)</f>
        <v>0</v>
      </c>
      <c r="AL77" s="82" t="n">
        <f aca="false">IF(AN77=21,L77,0)</f>
        <v>0</v>
      </c>
      <c r="AM77" s="51"/>
      <c r="AN77" s="82" t="n">
        <v>21</v>
      </c>
      <c r="AO77" s="82" t="n">
        <f aca="false">I77*0.841699712205408</f>
        <v>0</v>
      </c>
      <c r="AP77" s="82" t="n">
        <f aca="false">I77*(1-0.841699712205408)</f>
        <v>0</v>
      </c>
      <c r="AQ77" s="83" t="s">
        <v>132</v>
      </c>
      <c r="AR77" s="51"/>
      <c r="AS77" s="51"/>
      <c r="AT77" s="51"/>
      <c r="AU77" s="51"/>
      <c r="AV77" s="82" t="n">
        <f aca="false">AW77+AX77</f>
        <v>0</v>
      </c>
      <c r="AW77" s="82" t="n">
        <f aca="false">H77*AO77</f>
        <v>0</v>
      </c>
      <c r="AX77" s="82" t="n">
        <f aca="false">H77*AP77</f>
        <v>0</v>
      </c>
      <c r="AY77" s="83" t="s">
        <v>140</v>
      </c>
      <c r="AZ77" s="83" t="s">
        <v>141</v>
      </c>
      <c r="BA77" s="64" t="s">
        <v>107</v>
      </c>
      <c r="BB77" s="51"/>
      <c r="BC77" s="82" t="n">
        <f aca="false">AW77+AX77</f>
        <v>0</v>
      </c>
      <c r="BD77" s="82" t="n">
        <f aca="false">I77/(100-BE77)*100</f>
        <v>0</v>
      </c>
      <c r="BE77" s="82" t="n">
        <v>0</v>
      </c>
      <c r="BF77" s="82" t="n">
        <f aca="false">77</f>
        <v>77</v>
      </c>
      <c r="BG77" s="51"/>
      <c r="BH77" s="82" t="n">
        <f aca="false">H77*AO77</f>
        <v>0</v>
      </c>
      <c r="BI77" s="82" t="n">
        <f aca="false">H77*AP77</f>
        <v>0</v>
      </c>
      <c r="BJ77" s="82" t="n">
        <f aca="false">H77*I77</f>
        <v>0</v>
      </c>
      <c r="BK77" s="82"/>
      <c r="BL77" s="82" t="n">
        <v>722</v>
      </c>
    </row>
    <row r="78" customFormat="false" ht="15" hidden="false" customHeight="true" outlineLevel="0" collapsed="false">
      <c r="A78" s="78" t="s">
        <v>119</v>
      </c>
      <c r="B78" s="14" t="s">
        <v>297</v>
      </c>
      <c r="C78" s="14" t="s">
        <v>298</v>
      </c>
      <c r="D78" s="14"/>
      <c r="E78" s="14"/>
      <c r="F78" s="14"/>
      <c r="G78" s="14" t="s">
        <v>111</v>
      </c>
      <c r="H78" s="79" t="n">
        <v>10</v>
      </c>
      <c r="I78" s="80" t="n">
        <v>0</v>
      </c>
      <c r="J78" s="79" t="n">
        <f aca="false">H78*AO78</f>
        <v>0</v>
      </c>
      <c r="K78" s="79" t="n">
        <f aca="false">H78*AP78</f>
        <v>0</v>
      </c>
      <c r="L78" s="79" t="n">
        <f aca="false">H78*I78</f>
        <v>0</v>
      </c>
      <c r="M78" s="81" t="s">
        <v>104</v>
      </c>
      <c r="N78" s="53"/>
      <c r="O78" s="53"/>
      <c r="P78" s="53"/>
      <c r="Q78" s="53"/>
      <c r="R78" s="53"/>
      <c r="S78" s="53"/>
      <c r="T78" s="53"/>
      <c r="U78" s="53"/>
      <c r="V78" s="53"/>
      <c r="W78" s="53"/>
      <c r="X78" s="53"/>
      <c r="Y78" s="51"/>
      <c r="Z78" s="82" t="n">
        <f aca="false">IF(AQ78="5",BJ78,0)</f>
        <v>0</v>
      </c>
      <c r="AA78" s="51"/>
      <c r="AB78" s="82" t="n">
        <f aca="false">IF(AQ78="1",BH78,0)</f>
        <v>0</v>
      </c>
      <c r="AC78" s="82" t="n">
        <f aca="false">IF(AQ78="1",BI78,0)</f>
        <v>0</v>
      </c>
      <c r="AD78" s="82" t="n">
        <f aca="false">IF(AQ78="7",BH78,0)</f>
        <v>0</v>
      </c>
      <c r="AE78" s="82" t="n">
        <f aca="false">IF(AQ78="7",BI78,0)</f>
        <v>0</v>
      </c>
      <c r="AF78" s="82" t="n">
        <f aca="false">IF(AQ78="2",BH78,0)</f>
        <v>0</v>
      </c>
      <c r="AG78" s="82" t="n">
        <f aca="false">IF(AQ78="2",BI78,0)</f>
        <v>0</v>
      </c>
      <c r="AH78" s="82" t="n">
        <f aca="false">IF(AQ78="0",BJ78,0)</f>
        <v>0</v>
      </c>
      <c r="AI78" s="64" t="s">
        <v>99</v>
      </c>
      <c r="AJ78" s="82" t="n">
        <f aca="false">IF(AN78=0,L78,0)</f>
        <v>0</v>
      </c>
      <c r="AK78" s="82" t="n">
        <f aca="false">IF(AN78=15,L78,0)</f>
        <v>0</v>
      </c>
      <c r="AL78" s="82" t="n">
        <f aca="false">IF(AN78=21,L78,0)</f>
        <v>0</v>
      </c>
      <c r="AM78" s="51"/>
      <c r="AN78" s="82" t="n">
        <v>21</v>
      </c>
      <c r="AO78" s="82" t="n">
        <f aca="false">I78*0.952283609576427</f>
        <v>0</v>
      </c>
      <c r="AP78" s="82" t="n">
        <f aca="false">I78*(1-0.952283609576427)</f>
        <v>0</v>
      </c>
      <c r="AQ78" s="83" t="s">
        <v>132</v>
      </c>
      <c r="AR78" s="51"/>
      <c r="AS78" s="51"/>
      <c r="AT78" s="51"/>
      <c r="AU78" s="51"/>
      <c r="AV78" s="82" t="n">
        <f aca="false">AW78+AX78</f>
        <v>0</v>
      </c>
      <c r="AW78" s="82" t="n">
        <f aca="false">H78*AO78</f>
        <v>0</v>
      </c>
      <c r="AX78" s="82" t="n">
        <f aca="false">H78*AP78</f>
        <v>0</v>
      </c>
      <c r="AY78" s="83" t="s">
        <v>140</v>
      </c>
      <c r="AZ78" s="83" t="s">
        <v>141</v>
      </c>
      <c r="BA78" s="64" t="s">
        <v>107</v>
      </c>
      <c r="BB78" s="51"/>
      <c r="BC78" s="82" t="n">
        <f aca="false">AW78+AX78</f>
        <v>0</v>
      </c>
      <c r="BD78" s="82" t="n">
        <f aca="false">I78/(100-BE78)*100</f>
        <v>0</v>
      </c>
      <c r="BE78" s="82" t="n">
        <v>0</v>
      </c>
      <c r="BF78" s="82" t="n">
        <f aca="false">78</f>
        <v>78</v>
      </c>
      <c r="BG78" s="51"/>
      <c r="BH78" s="82" t="n">
        <f aca="false">H78*AO78</f>
        <v>0</v>
      </c>
      <c r="BI78" s="82" t="n">
        <f aca="false">H78*AP78</f>
        <v>0</v>
      </c>
      <c r="BJ78" s="82" t="n">
        <f aca="false">H78*I78</f>
        <v>0</v>
      </c>
      <c r="BK78" s="82"/>
      <c r="BL78" s="82" t="n">
        <v>722</v>
      </c>
    </row>
    <row r="79" customFormat="false" ht="15" hidden="false" customHeight="true" outlineLevel="0" collapsed="false">
      <c r="A79" s="78" t="s">
        <v>299</v>
      </c>
      <c r="B79" s="14" t="s">
        <v>300</v>
      </c>
      <c r="C79" s="14" t="s">
        <v>301</v>
      </c>
      <c r="D79" s="14"/>
      <c r="E79" s="14"/>
      <c r="F79" s="14"/>
      <c r="G79" s="14" t="s">
        <v>111</v>
      </c>
      <c r="H79" s="79" t="n">
        <v>32</v>
      </c>
      <c r="I79" s="80" t="n">
        <v>0</v>
      </c>
      <c r="J79" s="79" t="n">
        <f aca="false">H79*AO79</f>
        <v>0</v>
      </c>
      <c r="K79" s="79" t="n">
        <f aca="false">H79*AP79</f>
        <v>0</v>
      </c>
      <c r="L79" s="79" t="n">
        <f aca="false">H79*I79</f>
        <v>0</v>
      </c>
      <c r="M79" s="81" t="s">
        <v>104</v>
      </c>
      <c r="N79" s="53"/>
      <c r="O79" s="53"/>
      <c r="P79" s="53"/>
      <c r="Q79" s="53"/>
      <c r="R79" s="53"/>
      <c r="S79" s="53"/>
      <c r="T79" s="53"/>
      <c r="U79" s="53"/>
      <c r="V79" s="53"/>
      <c r="W79" s="53"/>
      <c r="X79" s="53"/>
      <c r="Y79" s="51"/>
      <c r="Z79" s="82" t="n">
        <f aca="false">IF(AQ79="5",BJ79,0)</f>
        <v>0</v>
      </c>
      <c r="AA79" s="51"/>
      <c r="AB79" s="82" t="n">
        <f aca="false">IF(AQ79="1",BH79,0)</f>
        <v>0</v>
      </c>
      <c r="AC79" s="82" t="n">
        <f aca="false">IF(AQ79="1",BI79,0)</f>
        <v>0</v>
      </c>
      <c r="AD79" s="82" t="n">
        <f aca="false">IF(AQ79="7",BH79,0)</f>
        <v>0</v>
      </c>
      <c r="AE79" s="82" t="n">
        <f aca="false">IF(AQ79="7",BI79,0)</f>
        <v>0</v>
      </c>
      <c r="AF79" s="82" t="n">
        <f aca="false">IF(AQ79="2",BH79,0)</f>
        <v>0</v>
      </c>
      <c r="AG79" s="82" t="n">
        <f aca="false">IF(AQ79="2",BI79,0)</f>
        <v>0</v>
      </c>
      <c r="AH79" s="82" t="n">
        <f aca="false">IF(AQ79="0",BJ79,0)</f>
        <v>0</v>
      </c>
      <c r="AI79" s="64" t="s">
        <v>99</v>
      </c>
      <c r="AJ79" s="82" t="n">
        <f aca="false">IF(AN79=0,L79,0)</f>
        <v>0</v>
      </c>
      <c r="AK79" s="82" t="n">
        <f aca="false">IF(AN79=15,L79,0)</f>
        <v>0</v>
      </c>
      <c r="AL79" s="82" t="n">
        <f aca="false">IF(AN79=21,L79,0)</f>
        <v>0</v>
      </c>
      <c r="AM79" s="51"/>
      <c r="AN79" s="82" t="n">
        <v>21</v>
      </c>
      <c r="AO79" s="82" t="n">
        <f aca="false">I79*0.581488158523244</f>
        <v>0</v>
      </c>
      <c r="AP79" s="82" t="n">
        <f aca="false">I79*(1-0.581488158523244)</f>
        <v>0</v>
      </c>
      <c r="AQ79" s="83" t="s">
        <v>132</v>
      </c>
      <c r="AR79" s="51"/>
      <c r="AS79" s="51"/>
      <c r="AT79" s="51"/>
      <c r="AU79" s="51"/>
      <c r="AV79" s="82" t="n">
        <f aca="false">AW79+AX79</f>
        <v>0</v>
      </c>
      <c r="AW79" s="82" t="n">
        <f aca="false">H79*AO79</f>
        <v>0</v>
      </c>
      <c r="AX79" s="82" t="n">
        <f aca="false">H79*AP79</f>
        <v>0</v>
      </c>
      <c r="AY79" s="83" t="s">
        <v>140</v>
      </c>
      <c r="AZ79" s="83" t="s">
        <v>141</v>
      </c>
      <c r="BA79" s="64" t="s">
        <v>107</v>
      </c>
      <c r="BB79" s="51"/>
      <c r="BC79" s="82" t="n">
        <f aca="false">AW79+AX79</f>
        <v>0</v>
      </c>
      <c r="BD79" s="82" t="n">
        <f aca="false">I79/(100-BE79)*100</f>
        <v>0</v>
      </c>
      <c r="BE79" s="82" t="n">
        <v>0</v>
      </c>
      <c r="BF79" s="82" t="n">
        <f aca="false">79</f>
        <v>79</v>
      </c>
      <c r="BG79" s="51"/>
      <c r="BH79" s="82" t="n">
        <f aca="false">H79*AO79</f>
        <v>0</v>
      </c>
      <c r="BI79" s="82" t="n">
        <f aca="false">H79*AP79</f>
        <v>0</v>
      </c>
      <c r="BJ79" s="82" t="n">
        <f aca="false">H79*I79</f>
        <v>0</v>
      </c>
      <c r="BK79" s="82"/>
      <c r="BL79" s="82" t="n">
        <v>722</v>
      </c>
    </row>
    <row r="80" customFormat="false" ht="15" hidden="false" customHeight="true" outlineLevel="0" collapsed="false">
      <c r="A80" s="78" t="s">
        <v>302</v>
      </c>
      <c r="B80" s="14" t="s">
        <v>303</v>
      </c>
      <c r="C80" s="14" t="s">
        <v>304</v>
      </c>
      <c r="D80" s="14"/>
      <c r="E80" s="14"/>
      <c r="F80" s="14"/>
      <c r="G80" s="14" t="s">
        <v>111</v>
      </c>
      <c r="H80" s="79" t="n">
        <v>1</v>
      </c>
      <c r="I80" s="80" t="n">
        <v>0</v>
      </c>
      <c r="J80" s="79" t="n">
        <f aca="false">H80*AO80</f>
        <v>0</v>
      </c>
      <c r="K80" s="79" t="n">
        <f aca="false">H80*AP80</f>
        <v>0</v>
      </c>
      <c r="L80" s="79" t="n">
        <f aca="false">H80*I80</f>
        <v>0</v>
      </c>
      <c r="M80" s="81" t="s">
        <v>104</v>
      </c>
      <c r="N80" s="53"/>
      <c r="O80" s="53"/>
      <c r="P80" s="53"/>
      <c r="Q80" s="53"/>
      <c r="R80" s="53"/>
      <c r="S80" s="53"/>
      <c r="T80" s="53"/>
      <c r="U80" s="53"/>
      <c r="V80" s="53"/>
      <c r="W80" s="53"/>
      <c r="X80" s="53"/>
      <c r="Y80" s="51"/>
      <c r="Z80" s="82" t="n">
        <f aca="false">IF(AQ80="5",BJ80,0)</f>
        <v>0</v>
      </c>
      <c r="AA80" s="51"/>
      <c r="AB80" s="82" t="n">
        <f aca="false">IF(AQ80="1",BH80,0)</f>
        <v>0</v>
      </c>
      <c r="AC80" s="82" t="n">
        <f aca="false">IF(AQ80="1",BI80,0)</f>
        <v>0</v>
      </c>
      <c r="AD80" s="82" t="n">
        <f aca="false">IF(AQ80="7",BH80,0)</f>
        <v>0</v>
      </c>
      <c r="AE80" s="82" t="n">
        <f aca="false">IF(AQ80="7",BI80,0)</f>
        <v>0</v>
      </c>
      <c r="AF80" s="82" t="n">
        <f aca="false">IF(AQ80="2",BH80,0)</f>
        <v>0</v>
      </c>
      <c r="AG80" s="82" t="n">
        <f aca="false">IF(AQ80="2",BI80,0)</f>
        <v>0</v>
      </c>
      <c r="AH80" s="82" t="n">
        <f aca="false">IF(AQ80="0",BJ80,0)</f>
        <v>0</v>
      </c>
      <c r="AI80" s="64" t="s">
        <v>99</v>
      </c>
      <c r="AJ80" s="82" t="n">
        <f aca="false">IF(AN80=0,L80,0)</f>
        <v>0</v>
      </c>
      <c r="AK80" s="82" t="n">
        <f aca="false">IF(AN80=15,L80,0)</f>
        <v>0</v>
      </c>
      <c r="AL80" s="82" t="n">
        <f aca="false">IF(AN80=21,L80,0)</f>
        <v>0</v>
      </c>
      <c r="AM80" s="51"/>
      <c r="AN80" s="82" t="n">
        <v>21</v>
      </c>
      <c r="AO80" s="82" t="n">
        <f aca="false">I80*0.433435700575816</f>
        <v>0</v>
      </c>
      <c r="AP80" s="82" t="n">
        <f aca="false">I80*(1-0.433435700575816)</f>
        <v>0</v>
      </c>
      <c r="AQ80" s="83" t="s">
        <v>132</v>
      </c>
      <c r="AR80" s="51"/>
      <c r="AS80" s="51"/>
      <c r="AT80" s="51"/>
      <c r="AU80" s="51"/>
      <c r="AV80" s="82" t="n">
        <f aca="false">AW80+AX80</f>
        <v>0</v>
      </c>
      <c r="AW80" s="82" t="n">
        <f aca="false">H80*AO80</f>
        <v>0</v>
      </c>
      <c r="AX80" s="82" t="n">
        <f aca="false">H80*AP80</f>
        <v>0</v>
      </c>
      <c r="AY80" s="83" t="s">
        <v>140</v>
      </c>
      <c r="AZ80" s="83" t="s">
        <v>141</v>
      </c>
      <c r="BA80" s="64" t="s">
        <v>107</v>
      </c>
      <c r="BB80" s="51"/>
      <c r="BC80" s="82" t="n">
        <f aca="false">AW80+AX80</f>
        <v>0</v>
      </c>
      <c r="BD80" s="82" t="n">
        <f aca="false">I80/(100-BE80)*100</f>
        <v>0</v>
      </c>
      <c r="BE80" s="82" t="n">
        <v>0</v>
      </c>
      <c r="BF80" s="82" t="n">
        <f aca="false">80</f>
        <v>80</v>
      </c>
      <c r="BG80" s="51"/>
      <c r="BH80" s="82" t="n">
        <f aca="false">H80*AO80</f>
        <v>0</v>
      </c>
      <c r="BI80" s="82" t="n">
        <f aca="false">H80*AP80</f>
        <v>0</v>
      </c>
      <c r="BJ80" s="82" t="n">
        <f aca="false">H80*I80</f>
        <v>0</v>
      </c>
      <c r="BK80" s="82"/>
      <c r="BL80" s="82" t="n">
        <v>722</v>
      </c>
    </row>
    <row r="81" customFormat="false" ht="15" hidden="false" customHeight="true" outlineLevel="0" collapsed="false">
      <c r="A81" s="78" t="s">
        <v>305</v>
      </c>
      <c r="B81" s="14" t="s">
        <v>245</v>
      </c>
      <c r="C81" s="14" t="s">
        <v>246</v>
      </c>
      <c r="D81" s="14"/>
      <c r="E81" s="14"/>
      <c r="F81" s="14"/>
      <c r="G81" s="14" t="s">
        <v>111</v>
      </c>
      <c r="H81" s="79" t="n">
        <v>9</v>
      </c>
      <c r="I81" s="80" t="n">
        <v>0</v>
      </c>
      <c r="J81" s="79" t="n">
        <f aca="false">H81*AO81</f>
        <v>0</v>
      </c>
      <c r="K81" s="79" t="n">
        <f aca="false">H81*AP81</f>
        <v>0</v>
      </c>
      <c r="L81" s="79" t="n">
        <f aca="false">H81*I81</f>
        <v>0</v>
      </c>
      <c r="M81" s="81" t="s">
        <v>104</v>
      </c>
      <c r="N81" s="53"/>
      <c r="O81" s="53"/>
      <c r="P81" s="53"/>
      <c r="Q81" s="53"/>
      <c r="R81" s="53"/>
      <c r="S81" s="53"/>
      <c r="T81" s="53"/>
      <c r="U81" s="53"/>
      <c r="V81" s="53"/>
      <c r="W81" s="53"/>
      <c r="X81" s="53"/>
      <c r="Y81" s="51"/>
      <c r="Z81" s="82" t="n">
        <f aca="false">IF(AQ81="5",BJ81,0)</f>
        <v>0</v>
      </c>
      <c r="AA81" s="51"/>
      <c r="AB81" s="82" t="n">
        <f aca="false">IF(AQ81="1",BH81,0)</f>
        <v>0</v>
      </c>
      <c r="AC81" s="82" t="n">
        <f aca="false">IF(AQ81="1",BI81,0)</f>
        <v>0</v>
      </c>
      <c r="AD81" s="82" t="n">
        <f aca="false">IF(AQ81="7",BH81,0)</f>
        <v>0</v>
      </c>
      <c r="AE81" s="82" t="n">
        <f aca="false">IF(AQ81="7",BI81,0)</f>
        <v>0</v>
      </c>
      <c r="AF81" s="82" t="n">
        <f aca="false">IF(AQ81="2",BH81,0)</f>
        <v>0</v>
      </c>
      <c r="AG81" s="82" t="n">
        <f aca="false">IF(AQ81="2",BI81,0)</f>
        <v>0</v>
      </c>
      <c r="AH81" s="82" t="n">
        <f aca="false">IF(AQ81="0",BJ81,0)</f>
        <v>0</v>
      </c>
      <c r="AI81" s="64" t="s">
        <v>99</v>
      </c>
      <c r="AJ81" s="82" t="n">
        <f aca="false">IF(AN81=0,L81,0)</f>
        <v>0</v>
      </c>
      <c r="AK81" s="82" t="n">
        <f aca="false">IF(AN81=15,L81,0)</f>
        <v>0</v>
      </c>
      <c r="AL81" s="82" t="n">
        <f aca="false">IF(AN81=21,L81,0)</f>
        <v>0</v>
      </c>
      <c r="AM81" s="51"/>
      <c r="AN81" s="82" t="n">
        <v>21</v>
      </c>
      <c r="AO81" s="82" t="n">
        <f aca="false">I81*0.267760491250212</f>
        <v>0</v>
      </c>
      <c r="AP81" s="82" t="n">
        <f aca="false">I81*(1-0.267760491250212)</f>
        <v>0</v>
      </c>
      <c r="AQ81" s="83" t="s">
        <v>132</v>
      </c>
      <c r="AR81" s="51"/>
      <c r="AS81" s="51"/>
      <c r="AT81" s="51"/>
      <c r="AU81" s="51"/>
      <c r="AV81" s="82" t="n">
        <f aca="false">AW81+AX81</f>
        <v>0</v>
      </c>
      <c r="AW81" s="82" t="n">
        <f aca="false">H81*AO81</f>
        <v>0</v>
      </c>
      <c r="AX81" s="82" t="n">
        <f aca="false">H81*AP81</f>
        <v>0</v>
      </c>
      <c r="AY81" s="83" t="s">
        <v>140</v>
      </c>
      <c r="AZ81" s="83" t="s">
        <v>141</v>
      </c>
      <c r="BA81" s="64" t="s">
        <v>107</v>
      </c>
      <c r="BB81" s="51"/>
      <c r="BC81" s="82" t="n">
        <f aca="false">AW81+AX81</f>
        <v>0</v>
      </c>
      <c r="BD81" s="82" t="n">
        <f aca="false">I81/(100-BE81)*100</f>
        <v>0</v>
      </c>
      <c r="BE81" s="82" t="n">
        <v>0</v>
      </c>
      <c r="BF81" s="82" t="n">
        <f aca="false">81</f>
        <v>81</v>
      </c>
      <c r="BG81" s="51"/>
      <c r="BH81" s="82" t="n">
        <f aca="false">H81*AO81</f>
        <v>0</v>
      </c>
      <c r="BI81" s="82" t="n">
        <f aca="false">H81*AP81</f>
        <v>0</v>
      </c>
      <c r="BJ81" s="82" t="n">
        <f aca="false">H81*I81</f>
        <v>0</v>
      </c>
      <c r="BK81" s="82"/>
      <c r="BL81" s="82" t="n">
        <v>722</v>
      </c>
    </row>
    <row r="82" customFormat="false" ht="15" hidden="false" customHeight="true" outlineLevel="0" collapsed="false">
      <c r="A82" s="78" t="s">
        <v>306</v>
      </c>
      <c r="B82" s="14" t="s">
        <v>307</v>
      </c>
      <c r="C82" s="14" t="s">
        <v>308</v>
      </c>
      <c r="D82" s="14"/>
      <c r="E82" s="14"/>
      <c r="F82" s="14"/>
      <c r="G82" s="14" t="s">
        <v>111</v>
      </c>
      <c r="H82" s="79" t="n">
        <v>9</v>
      </c>
      <c r="I82" s="80" t="n">
        <v>0</v>
      </c>
      <c r="J82" s="79" t="n">
        <f aca="false">H82*AO82</f>
        <v>0</v>
      </c>
      <c r="K82" s="79" t="n">
        <f aca="false">H82*AP82</f>
        <v>0</v>
      </c>
      <c r="L82" s="79" t="n">
        <f aca="false">H82*I82</f>
        <v>0</v>
      </c>
      <c r="M82" s="81" t="s">
        <v>104</v>
      </c>
      <c r="N82" s="53"/>
      <c r="O82" s="53"/>
      <c r="P82" s="53"/>
      <c r="Q82" s="53"/>
      <c r="R82" s="53"/>
      <c r="S82" s="53"/>
      <c r="T82" s="53"/>
      <c r="U82" s="53"/>
      <c r="V82" s="53"/>
      <c r="W82" s="53"/>
      <c r="X82" s="53"/>
      <c r="Y82" s="51"/>
      <c r="Z82" s="82" t="n">
        <f aca="false">IF(AQ82="5",BJ82,0)</f>
        <v>0</v>
      </c>
      <c r="AA82" s="51"/>
      <c r="AB82" s="82" t="n">
        <f aca="false">IF(AQ82="1",BH82,0)</f>
        <v>0</v>
      </c>
      <c r="AC82" s="82" t="n">
        <f aca="false">IF(AQ82="1",BI82,0)</f>
        <v>0</v>
      </c>
      <c r="AD82" s="82" t="n">
        <f aca="false">IF(AQ82="7",BH82,0)</f>
        <v>0</v>
      </c>
      <c r="AE82" s="82" t="n">
        <f aca="false">IF(AQ82="7",BI82,0)</f>
        <v>0</v>
      </c>
      <c r="AF82" s="82" t="n">
        <f aca="false">IF(AQ82="2",BH82,0)</f>
        <v>0</v>
      </c>
      <c r="AG82" s="82" t="n">
        <f aca="false">IF(AQ82="2",BI82,0)</f>
        <v>0</v>
      </c>
      <c r="AH82" s="82" t="n">
        <f aca="false">IF(AQ82="0",BJ82,0)</f>
        <v>0</v>
      </c>
      <c r="AI82" s="64" t="s">
        <v>99</v>
      </c>
      <c r="AJ82" s="82" t="n">
        <f aca="false">IF(AN82=0,L82,0)</f>
        <v>0</v>
      </c>
      <c r="AK82" s="82" t="n">
        <f aca="false">IF(AN82=15,L82,0)</f>
        <v>0</v>
      </c>
      <c r="AL82" s="82" t="n">
        <f aca="false">IF(AN82=21,L82,0)</f>
        <v>0</v>
      </c>
      <c r="AM82" s="51"/>
      <c r="AN82" s="82" t="n">
        <v>21</v>
      </c>
      <c r="AO82" s="82" t="n">
        <f aca="false">I82*0.213143872113677</f>
        <v>0</v>
      </c>
      <c r="AP82" s="82" t="n">
        <f aca="false">I82*(1-0.213143872113677)</f>
        <v>0</v>
      </c>
      <c r="AQ82" s="83" t="s">
        <v>132</v>
      </c>
      <c r="AR82" s="51"/>
      <c r="AS82" s="51"/>
      <c r="AT82" s="51"/>
      <c r="AU82" s="51"/>
      <c r="AV82" s="82" t="n">
        <f aca="false">AW82+AX82</f>
        <v>0</v>
      </c>
      <c r="AW82" s="82" t="n">
        <f aca="false">H82*AO82</f>
        <v>0</v>
      </c>
      <c r="AX82" s="82" t="n">
        <f aca="false">H82*AP82</f>
        <v>0</v>
      </c>
      <c r="AY82" s="83" t="s">
        <v>140</v>
      </c>
      <c r="AZ82" s="83" t="s">
        <v>141</v>
      </c>
      <c r="BA82" s="64" t="s">
        <v>107</v>
      </c>
      <c r="BB82" s="51"/>
      <c r="BC82" s="82" t="n">
        <f aca="false">AW82+AX82</f>
        <v>0</v>
      </c>
      <c r="BD82" s="82" t="n">
        <f aca="false">I82/(100-BE82)*100</f>
        <v>0</v>
      </c>
      <c r="BE82" s="82" t="n">
        <v>0</v>
      </c>
      <c r="BF82" s="82" t="n">
        <f aca="false">82</f>
        <v>82</v>
      </c>
      <c r="BG82" s="51"/>
      <c r="BH82" s="82" t="n">
        <f aca="false">H82*AO82</f>
        <v>0</v>
      </c>
      <c r="BI82" s="82" t="n">
        <f aca="false">H82*AP82</f>
        <v>0</v>
      </c>
      <c r="BJ82" s="82" t="n">
        <f aca="false">H82*I82</f>
        <v>0</v>
      </c>
      <c r="BK82" s="82"/>
      <c r="BL82" s="82" t="n">
        <v>722</v>
      </c>
    </row>
    <row r="83" customFormat="false" ht="15" hidden="false" customHeight="true" outlineLevel="0" collapsed="false">
      <c r="A83" s="78" t="s">
        <v>309</v>
      </c>
      <c r="B83" s="14" t="s">
        <v>274</v>
      </c>
      <c r="C83" s="14" t="s">
        <v>275</v>
      </c>
      <c r="D83" s="14"/>
      <c r="E83" s="14"/>
      <c r="F83" s="14"/>
      <c r="G83" s="14" t="s">
        <v>111</v>
      </c>
      <c r="H83" s="79" t="n">
        <v>33</v>
      </c>
      <c r="I83" s="80" t="n">
        <v>0</v>
      </c>
      <c r="J83" s="79" t="n">
        <f aca="false">H83*AO83</f>
        <v>0</v>
      </c>
      <c r="K83" s="79" t="n">
        <f aca="false">H83*AP83</f>
        <v>0</v>
      </c>
      <c r="L83" s="79" t="n">
        <f aca="false">H83*I83</f>
        <v>0</v>
      </c>
      <c r="M83" s="81" t="s">
        <v>104</v>
      </c>
      <c r="N83" s="53"/>
      <c r="O83" s="53"/>
      <c r="P83" s="53"/>
      <c r="Q83" s="53"/>
      <c r="R83" s="53"/>
      <c r="S83" s="53"/>
      <c r="T83" s="53"/>
      <c r="U83" s="53"/>
      <c r="V83" s="53"/>
      <c r="W83" s="53"/>
      <c r="X83" s="53"/>
      <c r="Y83" s="51"/>
      <c r="Z83" s="82" t="n">
        <f aca="false">IF(AQ83="5",BJ83,0)</f>
        <v>0</v>
      </c>
      <c r="AA83" s="51"/>
      <c r="AB83" s="82" t="n">
        <f aca="false">IF(AQ83="1",BH83,0)</f>
        <v>0</v>
      </c>
      <c r="AC83" s="82" t="n">
        <f aca="false">IF(AQ83="1",BI83,0)</f>
        <v>0</v>
      </c>
      <c r="AD83" s="82" t="n">
        <f aca="false">IF(AQ83="7",BH83,0)</f>
        <v>0</v>
      </c>
      <c r="AE83" s="82" t="n">
        <f aca="false">IF(AQ83="7",BI83,0)</f>
        <v>0</v>
      </c>
      <c r="AF83" s="82" t="n">
        <f aca="false">IF(AQ83="2",BH83,0)</f>
        <v>0</v>
      </c>
      <c r="AG83" s="82" t="n">
        <f aca="false">IF(AQ83="2",BI83,0)</f>
        <v>0</v>
      </c>
      <c r="AH83" s="82" t="n">
        <f aca="false">IF(AQ83="0",BJ83,0)</f>
        <v>0</v>
      </c>
      <c r="AI83" s="64" t="s">
        <v>99</v>
      </c>
      <c r="AJ83" s="82" t="n">
        <f aca="false">IF(AN83=0,L83,0)</f>
        <v>0</v>
      </c>
      <c r="AK83" s="82" t="n">
        <f aca="false">IF(AN83=15,L83,0)</f>
        <v>0</v>
      </c>
      <c r="AL83" s="82" t="n">
        <f aca="false">IF(AN83=21,L83,0)</f>
        <v>0</v>
      </c>
      <c r="AM83" s="51"/>
      <c r="AN83" s="82" t="n">
        <v>21</v>
      </c>
      <c r="AO83" s="82" t="n">
        <f aca="false">I83*0.147761260658006</f>
        <v>0</v>
      </c>
      <c r="AP83" s="82" t="n">
        <f aca="false">I83*(1-0.147761260658006)</f>
        <v>0</v>
      </c>
      <c r="AQ83" s="83" t="s">
        <v>132</v>
      </c>
      <c r="AR83" s="51"/>
      <c r="AS83" s="51"/>
      <c r="AT83" s="51"/>
      <c r="AU83" s="51"/>
      <c r="AV83" s="82" t="n">
        <f aca="false">AW83+AX83</f>
        <v>0</v>
      </c>
      <c r="AW83" s="82" t="n">
        <f aca="false">H83*AO83</f>
        <v>0</v>
      </c>
      <c r="AX83" s="82" t="n">
        <f aca="false">H83*AP83</f>
        <v>0</v>
      </c>
      <c r="AY83" s="83" t="s">
        <v>140</v>
      </c>
      <c r="AZ83" s="83" t="s">
        <v>141</v>
      </c>
      <c r="BA83" s="64" t="s">
        <v>107</v>
      </c>
      <c r="BB83" s="51"/>
      <c r="BC83" s="82" t="n">
        <f aca="false">AW83+AX83</f>
        <v>0</v>
      </c>
      <c r="BD83" s="82" t="n">
        <f aca="false">I83/(100-BE83)*100</f>
        <v>0</v>
      </c>
      <c r="BE83" s="82" t="n">
        <v>0</v>
      </c>
      <c r="BF83" s="82" t="n">
        <f aca="false">83</f>
        <v>83</v>
      </c>
      <c r="BG83" s="51"/>
      <c r="BH83" s="82" t="n">
        <f aca="false">H83*AO83</f>
        <v>0</v>
      </c>
      <c r="BI83" s="82" t="n">
        <f aca="false">H83*AP83</f>
        <v>0</v>
      </c>
      <c r="BJ83" s="82" t="n">
        <f aca="false">H83*I83</f>
        <v>0</v>
      </c>
      <c r="BK83" s="82"/>
      <c r="BL83" s="82" t="n">
        <v>722</v>
      </c>
    </row>
    <row r="84" customFormat="false" ht="15" hidden="false" customHeight="true" outlineLevel="0" collapsed="false">
      <c r="A84" s="78" t="s">
        <v>310</v>
      </c>
      <c r="B84" s="14" t="s">
        <v>220</v>
      </c>
      <c r="C84" s="14" t="s">
        <v>221</v>
      </c>
      <c r="D84" s="14"/>
      <c r="E84" s="14"/>
      <c r="F84" s="14"/>
      <c r="G84" s="14" t="s">
        <v>111</v>
      </c>
      <c r="H84" s="79" t="n">
        <v>1</v>
      </c>
      <c r="I84" s="80" t="n">
        <v>0</v>
      </c>
      <c r="J84" s="79" t="n">
        <f aca="false">H84*AO84</f>
        <v>0</v>
      </c>
      <c r="K84" s="79" t="n">
        <f aca="false">H84*AP84</f>
        <v>0</v>
      </c>
      <c r="L84" s="79" t="n">
        <f aca="false">H84*I84</f>
        <v>0</v>
      </c>
      <c r="M84" s="81" t="s">
        <v>104</v>
      </c>
      <c r="N84" s="53"/>
      <c r="O84" s="53"/>
      <c r="P84" s="53"/>
      <c r="Q84" s="53"/>
      <c r="R84" s="53"/>
      <c r="S84" s="53"/>
      <c r="T84" s="53"/>
      <c r="U84" s="53"/>
      <c r="V84" s="53"/>
      <c r="W84" s="53"/>
      <c r="X84" s="53"/>
      <c r="Y84" s="51"/>
      <c r="Z84" s="82" t="n">
        <f aca="false">IF(AQ84="5",BJ84,0)</f>
        <v>0</v>
      </c>
      <c r="AA84" s="51"/>
      <c r="AB84" s="82" t="n">
        <f aca="false">IF(AQ84="1",BH84,0)</f>
        <v>0</v>
      </c>
      <c r="AC84" s="82" t="n">
        <f aca="false">IF(AQ84="1",BI84,0)</f>
        <v>0</v>
      </c>
      <c r="AD84" s="82" t="n">
        <f aca="false">IF(AQ84="7",BH84,0)</f>
        <v>0</v>
      </c>
      <c r="AE84" s="82" t="n">
        <f aca="false">IF(AQ84="7",BI84,0)</f>
        <v>0</v>
      </c>
      <c r="AF84" s="82" t="n">
        <f aca="false">IF(AQ84="2",BH84,0)</f>
        <v>0</v>
      </c>
      <c r="AG84" s="82" t="n">
        <f aca="false">IF(AQ84="2",BI84,0)</f>
        <v>0</v>
      </c>
      <c r="AH84" s="82" t="n">
        <f aca="false">IF(AQ84="0",BJ84,0)</f>
        <v>0</v>
      </c>
      <c r="AI84" s="64" t="s">
        <v>99</v>
      </c>
      <c r="AJ84" s="82" t="n">
        <f aca="false">IF(AN84=0,L84,0)</f>
        <v>0</v>
      </c>
      <c r="AK84" s="82" t="n">
        <f aca="false">IF(AN84=15,L84,0)</f>
        <v>0</v>
      </c>
      <c r="AL84" s="82" t="n">
        <f aca="false">IF(AN84=21,L84,0)</f>
        <v>0</v>
      </c>
      <c r="AM84" s="51"/>
      <c r="AN84" s="82" t="n">
        <v>21</v>
      </c>
      <c r="AO84" s="82" t="n">
        <f aca="false">I84*0.875712847134341</f>
        <v>0</v>
      </c>
      <c r="AP84" s="82" t="n">
        <f aca="false">I84*(1-0.875712847134341)</f>
        <v>0</v>
      </c>
      <c r="AQ84" s="83" t="s">
        <v>132</v>
      </c>
      <c r="AR84" s="51"/>
      <c r="AS84" s="51"/>
      <c r="AT84" s="51"/>
      <c r="AU84" s="51"/>
      <c r="AV84" s="82" t="n">
        <f aca="false">AW84+AX84</f>
        <v>0</v>
      </c>
      <c r="AW84" s="82" t="n">
        <f aca="false">H84*AO84</f>
        <v>0</v>
      </c>
      <c r="AX84" s="82" t="n">
        <f aca="false">H84*AP84</f>
        <v>0</v>
      </c>
      <c r="AY84" s="83" t="s">
        <v>140</v>
      </c>
      <c r="AZ84" s="83" t="s">
        <v>141</v>
      </c>
      <c r="BA84" s="64" t="s">
        <v>107</v>
      </c>
      <c r="BB84" s="51"/>
      <c r="BC84" s="82" t="n">
        <f aca="false">AW84+AX84</f>
        <v>0</v>
      </c>
      <c r="BD84" s="82" t="n">
        <f aca="false">I84/(100-BE84)*100</f>
        <v>0</v>
      </c>
      <c r="BE84" s="82" t="n">
        <v>0</v>
      </c>
      <c r="BF84" s="82" t="n">
        <f aca="false">84</f>
        <v>84</v>
      </c>
      <c r="BG84" s="51"/>
      <c r="BH84" s="82" t="n">
        <f aca="false">H84*AO84</f>
        <v>0</v>
      </c>
      <c r="BI84" s="82" t="n">
        <f aca="false">H84*AP84</f>
        <v>0</v>
      </c>
      <c r="BJ84" s="82" t="n">
        <f aca="false">H84*I84</f>
        <v>0</v>
      </c>
      <c r="BK84" s="82"/>
      <c r="BL84" s="82" t="n">
        <v>722</v>
      </c>
    </row>
    <row r="85" customFormat="false" ht="15" hidden="false" customHeight="true" outlineLevel="0" collapsed="false">
      <c r="A85" s="78" t="s">
        <v>311</v>
      </c>
      <c r="B85" s="14" t="s">
        <v>312</v>
      </c>
      <c r="C85" s="14" t="s">
        <v>313</v>
      </c>
      <c r="D85" s="14"/>
      <c r="E85" s="14"/>
      <c r="F85" s="14"/>
      <c r="G85" s="14" t="s">
        <v>111</v>
      </c>
      <c r="H85" s="79" t="n">
        <v>9</v>
      </c>
      <c r="I85" s="80" t="n">
        <v>0</v>
      </c>
      <c r="J85" s="79" t="n">
        <f aca="false">H85*AO85</f>
        <v>0</v>
      </c>
      <c r="K85" s="79" t="n">
        <f aca="false">H85*AP85</f>
        <v>0</v>
      </c>
      <c r="L85" s="79" t="n">
        <f aca="false">H85*I85</f>
        <v>0</v>
      </c>
      <c r="M85" s="81" t="s">
        <v>104</v>
      </c>
      <c r="N85" s="53"/>
      <c r="O85" s="53"/>
      <c r="P85" s="53"/>
      <c r="Q85" s="53"/>
      <c r="R85" s="53"/>
      <c r="S85" s="53"/>
      <c r="T85" s="53"/>
      <c r="U85" s="53"/>
      <c r="V85" s="53"/>
      <c r="W85" s="53"/>
      <c r="X85" s="53"/>
      <c r="Y85" s="51"/>
      <c r="Z85" s="82" t="n">
        <f aca="false">IF(AQ85="5",BJ85,0)</f>
        <v>0</v>
      </c>
      <c r="AA85" s="51"/>
      <c r="AB85" s="82" t="n">
        <f aca="false">IF(AQ85="1",BH85,0)</f>
        <v>0</v>
      </c>
      <c r="AC85" s="82" t="n">
        <f aca="false">IF(AQ85="1",BI85,0)</f>
        <v>0</v>
      </c>
      <c r="AD85" s="82" t="n">
        <f aca="false">IF(AQ85="7",BH85,0)</f>
        <v>0</v>
      </c>
      <c r="AE85" s="82" t="n">
        <f aca="false">IF(AQ85="7",BI85,0)</f>
        <v>0</v>
      </c>
      <c r="AF85" s="82" t="n">
        <f aca="false">IF(AQ85="2",BH85,0)</f>
        <v>0</v>
      </c>
      <c r="AG85" s="82" t="n">
        <f aca="false">IF(AQ85="2",BI85,0)</f>
        <v>0</v>
      </c>
      <c r="AH85" s="82" t="n">
        <f aca="false">IF(AQ85="0",BJ85,0)</f>
        <v>0</v>
      </c>
      <c r="AI85" s="64" t="s">
        <v>99</v>
      </c>
      <c r="AJ85" s="82" t="n">
        <f aca="false">IF(AN85=0,L85,0)</f>
        <v>0</v>
      </c>
      <c r="AK85" s="82" t="n">
        <f aca="false">IF(AN85=15,L85,0)</f>
        <v>0</v>
      </c>
      <c r="AL85" s="82" t="n">
        <f aca="false">IF(AN85=21,L85,0)</f>
        <v>0</v>
      </c>
      <c r="AM85" s="51"/>
      <c r="AN85" s="82" t="n">
        <v>21</v>
      </c>
      <c r="AO85" s="82" t="n">
        <f aca="false">I85*0.836132075471698</f>
        <v>0</v>
      </c>
      <c r="AP85" s="82" t="n">
        <f aca="false">I85*(1-0.836132075471698)</f>
        <v>0</v>
      </c>
      <c r="AQ85" s="83" t="s">
        <v>132</v>
      </c>
      <c r="AR85" s="51"/>
      <c r="AS85" s="51"/>
      <c r="AT85" s="51"/>
      <c r="AU85" s="51"/>
      <c r="AV85" s="82" t="n">
        <f aca="false">AW85+AX85</f>
        <v>0</v>
      </c>
      <c r="AW85" s="82" t="n">
        <f aca="false">H85*AO85</f>
        <v>0</v>
      </c>
      <c r="AX85" s="82" t="n">
        <f aca="false">H85*AP85</f>
        <v>0</v>
      </c>
      <c r="AY85" s="83" t="s">
        <v>140</v>
      </c>
      <c r="AZ85" s="83" t="s">
        <v>141</v>
      </c>
      <c r="BA85" s="64" t="s">
        <v>107</v>
      </c>
      <c r="BB85" s="51"/>
      <c r="BC85" s="82" t="n">
        <f aca="false">AW85+AX85</f>
        <v>0</v>
      </c>
      <c r="BD85" s="82" t="n">
        <f aca="false">I85/(100-BE85)*100</f>
        <v>0</v>
      </c>
      <c r="BE85" s="82" t="n">
        <v>0</v>
      </c>
      <c r="BF85" s="82" t="n">
        <f aca="false">85</f>
        <v>85</v>
      </c>
      <c r="BG85" s="51"/>
      <c r="BH85" s="82" t="n">
        <f aca="false">H85*AO85</f>
        <v>0</v>
      </c>
      <c r="BI85" s="82" t="n">
        <f aca="false">H85*AP85</f>
        <v>0</v>
      </c>
      <c r="BJ85" s="82" t="n">
        <f aca="false">H85*I85</f>
        <v>0</v>
      </c>
      <c r="BK85" s="82"/>
      <c r="BL85" s="82" t="n">
        <v>722</v>
      </c>
    </row>
    <row r="86" customFormat="false" ht="15" hidden="false" customHeight="true" outlineLevel="0" collapsed="false">
      <c r="A86" s="78" t="s">
        <v>314</v>
      </c>
      <c r="B86" s="14" t="s">
        <v>277</v>
      </c>
      <c r="C86" s="14" t="s">
        <v>278</v>
      </c>
      <c r="D86" s="14"/>
      <c r="E86" s="14"/>
      <c r="F86" s="14"/>
      <c r="G86" s="14" t="s">
        <v>111</v>
      </c>
      <c r="H86" s="79" t="n">
        <v>14</v>
      </c>
      <c r="I86" s="80" t="n">
        <v>0</v>
      </c>
      <c r="J86" s="79" t="n">
        <f aca="false">H86*AO86</f>
        <v>0</v>
      </c>
      <c r="K86" s="79" t="n">
        <f aca="false">H86*AP86</f>
        <v>0</v>
      </c>
      <c r="L86" s="79" t="n">
        <f aca="false">H86*I86</f>
        <v>0</v>
      </c>
      <c r="M86" s="81" t="s">
        <v>104</v>
      </c>
      <c r="N86" s="53"/>
      <c r="O86" s="53"/>
      <c r="P86" s="53"/>
      <c r="Q86" s="53"/>
      <c r="R86" s="53"/>
      <c r="S86" s="53"/>
      <c r="T86" s="53"/>
      <c r="U86" s="53"/>
      <c r="V86" s="53"/>
      <c r="W86" s="53"/>
      <c r="X86" s="53"/>
      <c r="Y86" s="51"/>
      <c r="Z86" s="82" t="n">
        <f aca="false">IF(AQ86="5",BJ86,0)</f>
        <v>0</v>
      </c>
      <c r="AA86" s="51"/>
      <c r="AB86" s="82" t="n">
        <f aca="false">IF(AQ86="1",BH86,0)</f>
        <v>0</v>
      </c>
      <c r="AC86" s="82" t="n">
        <f aca="false">IF(AQ86="1",BI86,0)</f>
        <v>0</v>
      </c>
      <c r="AD86" s="82" t="n">
        <f aca="false">IF(AQ86="7",BH86,0)</f>
        <v>0</v>
      </c>
      <c r="AE86" s="82" t="n">
        <f aca="false">IF(AQ86="7",BI86,0)</f>
        <v>0</v>
      </c>
      <c r="AF86" s="82" t="n">
        <f aca="false">IF(AQ86="2",BH86,0)</f>
        <v>0</v>
      </c>
      <c r="AG86" s="82" t="n">
        <f aca="false">IF(AQ86="2",BI86,0)</f>
        <v>0</v>
      </c>
      <c r="AH86" s="82" t="n">
        <f aca="false">IF(AQ86="0",BJ86,0)</f>
        <v>0</v>
      </c>
      <c r="AI86" s="64" t="s">
        <v>99</v>
      </c>
      <c r="AJ86" s="82" t="n">
        <f aca="false">IF(AN86=0,L86,0)</f>
        <v>0</v>
      </c>
      <c r="AK86" s="82" t="n">
        <f aca="false">IF(AN86=15,L86,0)</f>
        <v>0</v>
      </c>
      <c r="AL86" s="82" t="n">
        <f aca="false">IF(AN86=21,L86,0)</f>
        <v>0</v>
      </c>
      <c r="AM86" s="51"/>
      <c r="AN86" s="82" t="n">
        <v>21</v>
      </c>
      <c r="AO86" s="82" t="n">
        <f aca="false">I86*0.81990159901599</f>
        <v>0</v>
      </c>
      <c r="AP86" s="82" t="n">
        <f aca="false">I86*(1-0.81990159901599)</f>
        <v>0</v>
      </c>
      <c r="AQ86" s="83" t="s">
        <v>132</v>
      </c>
      <c r="AR86" s="51"/>
      <c r="AS86" s="51"/>
      <c r="AT86" s="51"/>
      <c r="AU86" s="51"/>
      <c r="AV86" s="82" t="n">
        <f aca="false">AW86+AX86</f>
        <v>0</v>
      </c>
      <c r="AW86" s="82" t="n">
        <f aca="false">H86*AO86</f>
        <v>0</v>
      </c>
      <c r="AX86" s="82" t="n">
        <f aca="false">H86*AP86</f>
        <v>0</v>
      </c>
      <c r="AY86" s="83" t="s">
        <v>140</v>
      </c>
      <c r="AZ86" s="83" t="s">
        <v>141</v>
      </c>
      <c r="BA86" s="64" t="s">
        <v>107</v>
      </c>
      <c r="BB86" s="51"/>
      <c r="BC86" s="82" t="n">
        <f aca="false">AW86+AX86</f>
        <v>0</v>
      </c>
      <c r="BD86" s="82" t="n">
        <f aca="false">I86/(100-BE86)*100</f>
        <v>0</v>
      </c>
      <c r="BE86" s="82" t="n">
        <v>0</v>
      </c>
      <c r="BF86" s="82" t="n">
        <f aca="false">86</f>
        <v>86</v>
      </c>
      <c r="BG86" s="51"/>
      <c r="BH86" s="82" t="n">
        <f aca="false">H86*AO86</f>
        <v>0</v>
      </c>
      <c r="BI86" s="82" t="n">
        <f aca="false">H86*AP86</f>
        <v>0</v>
      </c>
      <c r="BJ86" s="82" t="n">
        <f aca="false">H86*I86</f>
        <v>0</v>
      </c>
      <c r="BK86" s="82"/>
      <c r="BL86" s="82" t="n">
        <v>722</v>
      </c>
    </row>
    <row r="87" customFormat="false" ht="15" hidden="false" customHeight="true" outlineLevel="0" collapsed="false">
      <c r="A87" s="78" t="s">
        <v>315</v>
      </c>
      <c r="B87" s="14" t="s">
        <v>228</v>
      </c>
      <c r="C87" s="14" t="s">
        <v>229</v>
      </c>
      <c r="D87" s="14"/>
      <c r="E87" s="14"/>
      <c r="F87" s="14"/>
      <c r="G87" s="14" t="s">
        <v>111</v>
      </c>
      <c r="H87" s="79" t="n">
        <v>1</v>
      </c>
      <c r="I87" s="80" t="n">
        <v>0</v>
      </c>
      <c r="J87" s="79" t="n">
        <f aca="false">H87*AO87</f>
        <v>0</v>
      </c>
      <c r="K87" s="79" t="n">
        <f aca="false">H87*AP87</f>
        <v>0</v>
      </c>
      <c r="L87" s="79" t="n">
        <f aca="false">H87*I87</f>
        <v>0</v>
      </c>
      <c r="M87" s="81" t="s">
        <v>104</v>
      </c>
      <c r="N87" s="53"/>
      <c r="O87" s="53"/>
      <c r="P87" s="53"/>
      <c r="Q87" s="53"/>
      <c r="R87" s="53"/>
      <c r="S87" s="53"/>
      <c r="T87" s="53"/>
      <c r="U87" s="53"/>
      <c r="V87" s="53"/>
      <c r="W87" s="53"/>
      <c r="X87" s="53"/>
      <c r="Y87" s="51"/>
      <c r="Z87" s="82" t="n">
        <f aca="false">IF(AQ87="5",BJ87,0)</f>
        <v>0</v>
      </c>
      <c r="AA87" s="51"/>
      <c r="AB87" s="82" t="n">
        <f aca="false">IF(AQ87="1",BH87,0)</f>
        <v>0</v>
      </c>
      <c r="AC87" s="82" t="n">
        <f aca="false">IF(AQ87="1",BI87,0)</f>
        <v>0</v>
      </c>
      <c r="AD87" s="82" t="n">
        <f aca="false">IF(AQ87="7",BH87,0)</f>
        <v>0</v>
      </c>
      <c r="AE87" s="82" t="n">
        <f aca="false">IF(AQ87="7",BI87,0)</f>
        <v>0</v>
      </c>
      <c r="AF87" s="82" t="n">
        <f aca="false">IF(AQ87="2",BH87,0)</f>
        <v>0</v>
      </c>
      <c r="AG87" s="82" t="n">
        <f aca="false">IF(AQ87="2",BI87,0)</f>
        <v>0</v>
      </c>
      <c r="AH87" s="82" t="n">
        <f aca="false">IF(AQ87="0",BJ87,0)</f>
        <v>0</v>
      </c>
      <c r="AI87" s="64" t="s">
        <v>99</v>
      </c>
      <c r="AJ87" s="82" t="n">
        <f aca="false">IF(AN87=0,L87,0)</f>
        <v>0</v>
      </c>
      <c r="AK87" s="82" t="n">
        <f aca="false">IF(AN87=15,L87,0)</f>
        <v>0</v>
      </c>
      <c r="AL87" s="82" t="n">
        <f aca="false">IF(AN87=21,L87,0)</f>
        <v>0</v>
      </c>
      <c r="AM87" s="51"/>
      <c r="AN87" s="82" t="n">
        <v>21</v>
      </c>
      <c r="AO87" s="82" t="n">
        <f aca="false">I87*0.863834004920383</f>
        <v>0</v>
      </c>
      <c r="AP87" s="82" t="n">
        <f aca="false">I87*(1-0.863834004920383)</f>
        <v>0</v>
      </c>
      <c r="AQ87" s="83" t="s">
        <v>132</v>
      </c>
      <c r="AR87" s="51"/>
      <c r="AS87" s="51"/>
      <c r="AT87" s="51"/>
      <c r="AU87" s="51"/>
      <c r="AV87" s="82" t="n">
        <f aca="false">AW87+AX87</f>
        <v>0</v>
      </c>
      <c r="AW87" s="82" t="n">
        <f aca="false">H87*AO87</f>
        <v>0</v>
      </c>
      <c r="AX87" s="82" t="n">
        <f aca="false">H87*AP87</f>
        <v>0</v>
      </c>
      <c r="AY87" s="83" t="s">
        <v>140</v>
      </c>
      <c r="AZ87" s="83" t="s">
        <v>141</v>
      </c>
      <c r="BA87" s="64" t="s">
        <v>107</v>
      </c>
      <c r="BB87" s="51"/>
      <c r="BC87" s="82" t="n">
        <f aca="false">AW87+AX87</f>
        <v>0</v>
      </c>
      <c r="BD87" s="82" t="n">
        <f aca="false">I87/(100-BE87)*100</f>
        <v>0</v>
      </c>
      <c r="BE87" s="82" t="n">
        <v>0</v>
      </c>
      <c r="BF87" s="82" t="n">
        <f aca="false">87</f>
        <v>87</v>
      </c>
      <c r="BG87" s="51"/>
      <c r="BH87" s="82" t="n">
        <f aca="false">H87*AO87</f>
        <v>0</v>
      </c>
      <c r="BI87" s="82" t="n">
        <f aca="false">H87*AP87</f>
        <v>0</v>
      </c>
      <c r="BJ87" s="82" t="n">
        <f aca="false">H87*I87</f>
        <v>0</v>
      </c>
      <c r="BK87" s="82"/>
      <c r="BL87" s="82" t="n">
        <v>722</v>
      </c>
    </row>
    <row r="88" customFormat="false" ht="15" hidden="false" customHeight="true" outlineLevel="0" collapsed="false">
      <c r="A88" s="78" t="s">
        <v>316</v>
      </c>
      <c r="B88" s="14" t="s">
        <v>231</v>
      </c>
      <c r="C88" s="14" t="s">
        <v>232</v>
      </c>
      <c r="D88" s="14"/>
      <c r="E88" s="14"/>
      <c r="F88" s="14"/>
      <c r="G88" s="14" t="s">
        <v>111</v>
      </c>
      <c r="H88" s="79" t="n">
        <v>3</v>
      </c>
      <c r="I88" s="80" t="n">
        <v>0</v>
      </c>
      <c r="J88" s="79" t="n">
        <f aca="false">H88*AO88</f>
        <v>0</v>
      </c>
      <c r="K88" s="79" t="n">
        <f aca="false">H88*AP88</f>
        <v>0</v>
      </c>
      <c r="L88" s="79" t="n">
        <f aca="false">H88*I88</f>
        <v>0</v>
      </c>
      <c r="M88" s="81" t="s">
        <v>104</v>
      </c>
      <c r="N88" s="53"/>
      <c r="O88" s="53"/>
      <c r="P88" s="53"/>
      <c r="Q88" s="53"/>
      <c r="R88" s="53"/>
      <c r="S88" s="53"/>
      <c r="T88" s="53"/>
      <c r="U88" s="53"/>
      <c r="V88" s="53"/>
      <c r="W88" s="53"/>
      <c r="X88" s="53"/>
      <c r="Y88" s="51"/>
      <c r="Z88" s="82" t="n">
        <f aca="false">IF(AQ88="5",BJ88,0)</f>
        <v>0</v>
      </c>
      <c r="AA88" s="51"/>
      <c r="AB88" s="82" t="n">
        <f aca="false">IF(AQ88="1",BH88,0)</f>
        <v>0</v>
      </c>
      <c r="AC88" s="82" t="n">
        <f aca="false">IF(AQ88="1",BI88,0)</f>
        <v>0</v>
      </c>
      <c r="AD88" s="82" t="n">
        <f aca="false">IF(AQ88="7",BH88,0)</f>
        <v>0</v>
      </c>
      <c r="AE88" s="82" t="n">
        <f aca="false">IF(AQ88="7",BI88,0)</f>
        <v>0</v>
      </c>
      <c r="AF88" s="82" t="n">
        <f aca="false">IF(AQ88="2",BH88,0)</f>
        <v>0</v>
      </c>
      <c r="AG88" s="82" t="n">
        <f aca="false">IF(AQ88="2",BI88,0)</f>
        <v>0</v>
      </c>
      <c r="AH88" s="82" t="n">
        <f aca="false">IF(AQ88="0",BJ88,0)</f>
        <v>0</v>
      </c>
      <c r="AI88" s="64" t="s">
        <v>99</v>
      </c>
      <c r="AJ88" s="82" t="n">
        <f aca="false">IF(AN88=0,L88,0)</f>
        <v>0</v>
      </c>
      <c r="AK88" s="82" t="n">
        <f aca="false">IF(AN88=15,L88,0)</f>
        <v>0</v>
      </c>
      <c r="AL88" s="82" t="n">
        <f aca="false">IF(AN88=21,L88,0)</f>
        <v>0</v>
      </c>
      <c r="AM88" s="51"/>
      <c r="AN88" s="82" t="n">
        <v>21</v>
      </c>
      <c r="AO88" s="82" t="n">
        <f aca="false">I88*0.842611202635914</f>
        <v>0</v>
      </c>
      <c r="AP88" s="82" t="n">
        <f aca="false">I88*(1-0.842611202635914)</f>
        <v>0</v>
      </c>
      <c r="AQ88" s="83" t="s">
        <v>132</v>
      </c>
      <c r="AR88" s="51"/>
      <c r="AS88" s="51"/>
      <c r="AT88" s="51"/>
      <c r="AU88" s="51"/>
      <c r="AV88" s="82" t="n">
        <f aca="false">AW88+AX88</f>
        <v>0</v>
      </c>
      <c r="AW88" s="82" t="n">
        <f aca="false">H88*AO88</f>
        <v>0</v>
      </c>
      <c r="AX88" s="82" t="n">
        <f aca="false">H88*AP88</f>
        <v>0</v>
      </c>
      <c r="AY88" s="83" t="s">
        <v>140</v>
      </c>
      <c r="AZ88" s="83" t="s">
        <v>141</v>
      </c>
      <c r="BA88" s="64" t="s">
        <v>107</v>
      </c>
      <c r="BB88" s="51"/>
      <c r="BC88" s="82" t="n">
        <f aca="false">AW88+AX88</f>
        <v>0</v>
      </c>
      <c r="BD88" s="82" t="n">
        <f aca="false">I88/(100-BE88)*100</f>
        <v>0</v>
      </c>
      <c r="BE88" s="82" t="n">
        <v>0</v>
      </c>
      <c r="BF88" s="82" t="n">
        <f aca="false">88</f>
        <v>88</v>
      </c>
      <c r="BG88" s="51"/>
      <c r="BH88" s="82" t="n">
        <f aca="false">H88*AO88</f>
        <v>0</v>
      </c>
      <c r="BI88" s="82" t="n">
        <f aca="false">H88*AP88</f>
        <v>0</v>
      </c>
      <c r="BJ88" s="82" t="n">
        <f aca="false">H88*I88</f>
        <v>0</v>
      </c>
      <c r="BK88" s="82"/>
      <c r="BL88" s="82" t="n">
        <v>722</v>
      </c>
    </row>
    <row r="89" customFormat="false" ht="15" hidden="false" customHeight="true" outlineLevel="0" collapsed="false">
      <c r="A89" s="78" t="s">
        <v>317</v>
      </c>
      <c r="B89" s="14" t="s">
        <v>286</v>
      </c>
      <c r="C89" s="14" t="s">
        <v>287</v>
      </c>
      <c r="D89" s="14"/>
      <c r="E89" s="14"/>
      <c r="F89" s="14"/>
      <c r="G89" s="14" t="s">
        <v>111</v>
      </c>
      <c r="H89" s="79" t="n">
        <v>8</v>
      </c>
      <c r="I89" s="80" t="n">
        <v>0</v>
      </c>
      <c r="J89" s="79" t="n">
        <f aca="false">H89*AO89</f>
        <v>0</v>
      </c>
      <c r="K89" s="79" t="n">
        <f aca="false">H89*AP89</f>
        <v>0</v>
      </c>
      <c r="L89" s="79" t="n">
        <f aca="false">H89*I89</f>
        <v>0</v>
      </c>
      <c r="M89" s="81" t="s">
        <v>104</v>
      </c>
      <c r="N89" s="53"/>
      <c r="O89" s="53"/>
      <c r="P89" s="53"/>
      <c r="Q89" s="53"/>
      <c r="R89" s="53"/>
      <c r="S89" s="53"/>
      <c r="T89" s="53"/>
      <c r="U89" s="53"/>
      <c r="V89" s="53"/>
      <c r="W89" s="53"/>
      <c r="X89" s="53"/>
      <c r="Y89" s="51"/>
      <c r="Z89" s="82" t="n">
        <f aca="false">IF(AQ89="5",BJ89,0)</f>
        <v>0</v>
      </c>
      <c r="AA89" s="51"/>
      <c r="AB89" s="82" t="n">
        <f aca="false">IF(AQ89="1",BH89,0)</f>
        <v>0</v>
      </c>
      <c r="AC89" s="82" t="n">
        <f aca="false">IF(AQ89="1",BI89,0)</f>
        <v>0</v>
      </c>
      <c r="AD89" s="82" t="n">
        <f aca="false">IF(AQ89="7",BH89,0)</f>
        <v>0</v>
      </c>
      <c r="AE89" s="82" t="n">
        <f aca="false">IF(AQ89="7",BI89,0)</f>
        <v>0</v>
      </c>
      <c r="AF89" s="82" t="n">
        <f aca="false">IF(AQ89="2",BH89,0)</f>
        <v>0</v>
      </c>
      <c r="AG89" s="82" t="n">
        <f aca="false">IF(AQ89="2",BI89,0)</f>
        <v>0</v>
      </c>
      <c r="AH89" s="82" t="n">
        <f aca="false">IF(AQ89="0",BJ89,0)</f>
        <v>0</v>
      </c>
      <c r="AI89" s="64" t="s">
        <v>99</v>
      </c>
      <c r="AJ89" s="82" t="n">
        <f aca="false">IF(AN89=0,L89,0)</f>
        <v>0</v>
      </c>
      <c r="AK89" s="82" t="n">
        <f aca="false">IF(AN89=15,L89,0)</f>
        <v>0</v>
      </c>
      <c r="AL89" s="82" t="n">
        <f aca="false">IF(AN89=21,L89,0)</f>
        <v>0</v>
      </c>
      <c r="AM89" s="51"/>
      <c r="AN89" s="82" t="n">
        <v>21</v>
      </c>
      <c r="AO89" s="82" t="n">
        <f aca="false">I89*0.825065710872163</f>
        <v>0</v>
      </c>
      <c r="AP89" s="82" t="n">
        <f aca="false">I89*(1-0.825065710872163)</f>
        <v>0</v>
      </c>
      <c r="AQ89" s="83" t="s">
        <v>132</v>
      </c>
      <c r="AR89" s="51"/>
      <c r="AS89" s="51"/>
      <c r="AT89" s="51"/>
      <c r="AU89" s="51"/>
      <c r="AV89" s="82" t="n">
        <f aca="false">AW89+AX89</f>
        <v>0</v>
      </c>
      <c r="AW89" s="82" t="n">
        <f aca="false">H89*AO89</f>
        <v>0</v>
      </c>
      <c r="AX89" s="82" t="n">
        <f aca="false">H89*AP89</f>
        <v>0</v>
      </c>
      <c r="AY89" s="83" t="s">
        <v>140</v>
      </c>
      <c r="AZ89" s="83" t="s">
        <v>141</v>
      </c>
      <c r="BA89" s="64" t="s">
        <v>107</v>
      </c>
      <c r="BB89" s="51"/>
      <c r="BC89" s="82" t="n">
        <f aca="false">AW89+AX89</f>
        <v>0</v>
      </c>
      <c r="BD89" s="82" t="n">
        <f aca="false">I89/(100-BE89)*100</f>
        <v>0</v>
      </c>
      <c r="BE89" s="82" t="n">
        <v>0</v>
      </c>
      <c r="BF89" s="82" t="n">
        <f aca="false">89</f>
        <v>89</v>
      </c>
      <c r="BG89" s="51"/>
      <c r="BH89" s="82" t="n">
        <f aca="false">H89*AO89</f>
        <v>0</v>
      </c>
      <c r="BI89" s="82" t="n">
        <f aca="false">H89*AP89</f>
        <v>0</v>
      </c>
      <c r="BJ89" s="82" t="n">
        <f aca="false">H89*I89</f>
        <v>0</v>
      </c>
      <c r="BK89" s="82"/>
      <c r="BL89" s="82" t="n">
        <v>722</v>
      </c>
    </row>
    <row r="90" customFormat="false" ht="15" hidden="false" customHeight="true" outlineLevel="0" collapsed="false">
      <c r="A90" s="78" t="s">
        <v>318</v>
      </c>
      <c r="B90" s="14" t="s">
        <v>240</v>
      </c>
      <c r="C90" s="14" t="s">
        <v>241</v>
      </c>
      <c r="D90" s="14"/>
      <c r="E90" s="14"/>
      <c r="F90" s="14"/>
      <c r="G90" s="14" t="s">
        <v>111</v>
      </c>
      <c r="H90" s="79" t="n">
        <v>1</v>
      </c>
      <c r="I90" s="80" t="n">
        <v>0</v>
      </c>
      <c r="J90" s="79" t="n">
        <f aca="false">H90*AO90</f>
        <v>0</v>
      </c>
      <c r="K90" s="79" t="n">
        <f aca="false">H90*AP90</f>
        <v>0</v>
      </c>
      <c r="L90" s="79" t="n">
        <f aca="false">H90*I90</f>
        <v>0</v>
      </c>
      <c r="M90" s="81" t="s">
        <v>104</v>
      </c>
      <c r="N90" s="53"/>
      <c r="O90" s="53"/>
      <c r="P90" s="53"/>
      <c r="Q90" s="53"/>
      <c r="R90" s="53"/>
      <c r="S90" s="53"/>
      <c r="T90" s="53"/>
      <c r="U90" s="53"/>
      <c r="V90" s="53"/>
      <c r="W90" s="53"/>
      <c r="X90" s="53"/>
      <c r="Y90" s="51"/>
      <c r="Z90" s="82" t="n">
        <f aca="false">IF(AQ90="5",BJ90,0)</f>
        <v>0</v>
      </c>
      <c r="AA90" s="51"/>
      <c r="AB90" s="82" t="n">
        <f aca="false">IF(AQ90="1",BH90,0)</f>
        <v>0</v>
      </c>
      <c r="AC90" s="82" t="n">
        <f aca="false">IF(AQ90="1",BI90,0)</f>
        <v>0</v>
      </c>
      <c r="AD90" s="82" t="n">
        <f aca="false">IF(AQ90="7",BH90,0)</f>
        <v>0</v>
      </c>
      <c r="AE90" s="82" t="n">
        <f aca="false">IF(AQ90="7",BI90,0)</f>
        <v>0</v>
      </c>
      <c r="AF90" s="82" t="n">
        <f aca="false">IF(AQ90="2",BH90,0)</f>
        <v>0</v>
      </c>
      <c r="AG90" s="82" t="n">
        <f aca="false">IF(AQ90="2",BI90,0)</f>
        <v>0</v>
      </c>
      <c r="AH90" s="82" t="n">
        <f aca="false">IF(AQ90="0",BJ90,0)</f>
        <v>0</v>
      </c>
      <c r="AI90" s="64" t="s">
        <v>99</v>
      </c>
      <c r="AJ90" s="82" t="n">
        <f aca="false">IF(AN90=0,L90,0)</f>
        <v>0</v>
      </c>
      <c r="AK90" s="82" t="n">
        <f aca="false">IF(AN90=15,L90,0)</f>
        <v>0</v>
      </c>
      <c r="AL90" s="82" t="n">
        <f aca="false">IF(AN90=21,L90,0)</f>
        <v>0</v>
      </c>
      <c r="AM90" s="51"/>
      <c r="AN90" s="82" t="n">
        <v>21</v>
      </c>
      <c r="AO90" s="82" t="n">
        <f aca="false">I90*0.90057326695338</f>
        <v>0</v>
      </c>
      <c r="AP90" s="82" t="n">
        <f aca="false">I90*(1-0.90057326695338)</f>
        <v>0</v>
      </c>
      <c r="AQ90" s="83" t="s">
        <v>132</v>
      </c>
      <c r="AR90" s="51"/>
      <c r="AS90" s="51"/>
      <c r="AT90" s="51"/>
      <c r="AU90" s="51"/>
      <c r="AV90" s="82" t="n">
        <f aca="false">AW90+AX90</f>
        <v>0</v>
      </c>
      <c r="AW90" s="82" t="n">
        <f aca="false">H90*AO90</f>
        <v>0</v>
      </c>
      <c r="AX90" s="82" t="n">
        <f aca="false">H90*AP90</f>
        <v>0</v>
      </c>
      <c r="AY90" s="83" t="s">
        <v>140</v>
      </c>
      <c r="AZ90" s="83" t="s">
        <v>141</v>
      </c>
      <c r="BA90" s="64" t="s">
        <v>107</v>
      </c>
      <c r="BB90" s="51"/>
      <c r="BC90" s="82" t="n">
        <f aca="false">AW90+AX90</f>
        <v>0</v>
      </c>
      <c r="BD90" s="82" t="n">
        <f aca="false">I90/(100-BE90)*100</f>
        <v>0</v>
      </c>
      <c r="BE90" s="82" t="n">
        <v>0</v>
      </c>
      <c r="BF90" s="82" t="n">
        <f aca="false">90</f>
        <v>90</v>
      </c>
      <c r="BG90" s="51"/>
      <c r="BH90" s="82" t="n">
        <f aca="false">H90*AO90</f>
        <v>0</v>
      </c>
      <c r="BI90" s="82" t="n">
        <f aca="false">H90*AP90</f>
        <v>0</v>
      </c>
      <c r="BJ90" s="82" t="n">
        <f aca="false">H90*I90</f>
        <v>0</v>
      </c>
      <c r="BK90" s="82"/>
      <c r="BL90" s="82" t="n">
        <v>722</v>
      </c>
    </row>
    <row r="91" customFormat="false" ht="15" hidden="false" customHeight="true" outlineLevel="0" collapsed="false">
      <c r="A91" s="78" t="s">
        <v>319</v>
      </c>
      <c r="B91" s="14" t="s">
        <v>320</v>
      </c>
      <c r="C91" s="14" t="s">
        <v>321</v>
      </c>
      <c r="D91" s="14"/>
      <c r="E91" s="14"/>
      <c r="F91" s="14"/>
      <c r="G91" s="14" t="s">
        <v>111</v>
      </c>
      <c r="H91" s="79" t="n">
        <v>3</v>
      </c>
      <c r="I91" s="80" t="n">
        <v>0</v>
      </c>
      <c r="J91" s="79" t="n">
        <f aca="false">H91*AO91</f>
        <v>0</v>
      </c>
      <c r="K91" s="79" t="n">
        <f aca="false">H91*AP91</f>
        <v>0</v>
      </c>
      <c r="L91" s="79" t="n">
        <f aca="false">H91*I91</f>
        <v>0</v>
      </c>
      <c r="M91" s="81" t="s">
        <v>104</v>
      </c>
      <c r="N91" s="53"/>
      <c r="O91" s="53"/>
      <c r="P91" s="53"/>
      <c r="Q91" s="53"/>
      <c r="R91" s="53"/>
      <c r="S91" s="53"/>
      <c r="T91" s="53"/>
      <c r="U91" s="53"/>
      <c r="V91" s="53"/>
      <c r="W91" s="53"/>
      <c r="X91" s="53"/>
      <c r="Y91" s="51"/>
      <c r="Z91" s="82" t="n">
        <f aca="false">IF(AQ91="5",BJ91,0)</f>
        <v>0</v>
      </c>
      <c r="AA91" s="51"/>
      <c r="AB91" s="82" t="n">
        <f aca="false">IF(AQ91="1",BH91,0)</f>
        <v>0</v>
      </c>
      <c r="AC91" s="82" t="n">
        <f aca="false">IF(AQ91="1",BI91,0)</f>
        <v>0</v>
      </c>
      <c r="AD91" s="82" t="n">
        <f aca="false">IF(AQ91="7",BH91,0)</f>
        <v>0</v>
      </c>
      <c r="AE91" s="82" t="n">
        <f aca="false">IF(AQ91="7",BI91,0)</f>
        <v>0</v>
      </c>
      <c r="AF91" s="82" t="n">
        <f aca="false">IF(AQ91="2",BH91,0)</f>
        <v>0</v>
      </c>
      <c r="AG91" s="82" t="n">
        <f aca="false">IF(AQ91="2",BI91,0)</f>
        <v>0</v>
      </c>
      <c r="AH91" s="82" t="n">
        <f aca="false">IF(AQ91="0",BJ91,0)</f>
        <v>0</v>
      </c>
      <c r="AI91" s="64" t="s">
        <v>99</v>
      </c>
      <c r="AJ91" s="82" t="n">
        <f aca="false">IF(AN91=0,L91,0)</f>
        <v>0</v>
      </c>
      <c r="AK91" s="82" t="n">
        <f aca="false">IF(AN91=15,L91,0)</f>
        <v>0</v>
      </c>
      <c r="AL91" s="82" t="n">
        <f aca="false">IF(AN91=21,L91,0)</f>
        <v>0</v>
      </c>
      <c r="AM91" s="51"/>
      <c r="AN91" s="82" t="n">
        <v>21</v>
      </c>
      <c r="AO91" s="82" t="n">
        <f aca="false">I91*0.87290499537681</f>
        <v>0</v>
      </c>
      <c r="AP91" s="82" t="n">
        <f aca="false">I91*(1-0.87290499537681)</f>
        <v>0</v>
      </c>
      <c r="AQ91" s="83" t="s">
        <v>132</v>
      </c>
      <c r="AR91" s="51"/>
      <c r="AS91" s="51"/>
      <c r="AT91" s="51"/>
      <c r="AU91" s="51"/>
      <c r="AV91" s="82" t="n">
        <f aca="false">AW91+AX91</f>
        <v>0</v>
      </c>
      <c r="AW91" s="82" t="n">
        <f aca="false">H91*AO91</f>
        <v>0</v>
      </c>
      <c r="AX91" s="82" t="n">
        <f aca="false">H91*AP91</f>
        <v>0</v>
      </c>
      <c r="AY91" s="83" t="s">
        <v>140</v>
      </c>
      <c r="AZ91" s="83" t="s">
        <v>141</v>
      </c>
      <c r="BA91" s="64" t="s">
        <v>107</v>
      </c>
      <c r="BB91" s="51"/>
      <c r="BC91" s="82" t="n">
        <f aca="false">AW91+AX91</f>
        <v>0</v>
      </c>
      <c r="BD91" s="82" t="n">
        <f aca="false">I91/(100-BE91)*100</f>
        <v>0</v>
      </c>
      <c r="BE91" s="82" t="n">
        <v>0</v>
      </c>
      <c r="BF91" s="82" t="n">
        <f aca="false">91</f>
        <v>91</v>
      </c>
      <c r="BG91" s="51"/>
      <c r="BH91" s="82" t="n">
        <f aca="false">H91*AO91</f>
        <v>0</v>
      </c>
      <c r="BI91" s="82" t="n">
        <f aca="false">H91*AP91</f>
        <v>0</v>
      </c>
      <c r="BJ91" s="82" t="n">
        <f aca="false">H91*I91</f>
        <v>0</v>
      </c>
      <c r="BK91" s="82"/>
      <c r="BL91" s="82" t="n">
        <v>722</v>
      </c>
    </row>
    <row r="92" customFormat="false" ht="15" hidden="false" customHeight="true" outlineLevel="0" collapsed="false">
      <c r="A92" s="78" t="s">
        <v>322</v>
      </c>
      <c r="B92" s="14" t="s">
        <v>292</v>
      </c>
      <c r="C92" s="14" t="s">
        <v>293</v>
      </c>
      <c r="D92" s="14"/>
      <c r="E92" s="14"/>
      <c r="F92" s="14"/>
      <c r="G92" s="14" t="s">
        <v>111</v>
      </c>
      <c r="H92" s="79" t="n">
        <v>8</v>
      </c>
      <c r="I92" s="80" t="n">
        <v>0</v>
      </c>
      <c r="J92" s="79" t="n">
        <f aca="false">H92*AO92</f>
        <v>0</v>
      </c>
      <c r="K92" s="79" t="n">
        <f aca="false">H92*AP92</f>
        <v>0</v>
      </c>
      <c r="L92" s="79" t="n">
        <f aca="false">H92*I92</f>
        <v>0</v>
      </c>
      <c r="M92" s="81" t="s">
        <v>104</v>
      </c>
      <c r="N92" s="53"/>
      <c r="O92" s="53"/>
      <c r="P92" s="53"/>
      <c r="Q92" s="53"/>
      <c r="R92" s="53"/>
      <c r="S92" s="53"/>
      <c r="T92" s="53"/>
      <c r="U92" s="53"/>
      <c r="V92" s="53"/>
      <c r="W92" s="53"/>
      <c r="X92" s="53"/>
      <c r="Y92" s="51"/>
      <c r="Z92" s="82" t="n">
        <f aca="false">IF(AQ92="5",BJ92,0)</f>
        <v>0</v>
      </c>
      <c r="AA92" s="51"/>
      <c r="AB92" s="82" t="n">
        <f aca="false">IF(AQ92="1",BH92,0)</f>
        <v>0</v>
      </c>
      <c r="AC92" s="82" t="n">
        <f aca="false">IF(AQ92="1",BI92,0)</f>
        <v>0</v>
      </c>
      <c r="AD92" s="82" t="n">
        <f aca="false">IF(AQ92="7",BH92,0)</f>
        <v>0</v>
      </c>
      <c r="AE92" s="82" t="n">
        <f aca="false">IF(AQ92="7",BI92,0)</f>
        <v>0</v>
      </c>
      <c r="AF92" s="82" t="n">
        <f aca="false">IF(AQ92="2",BH92,0)</f>
        <v>0</v>
      </c>
      <c r="AG92" s="82" t="n">
        <f aca="false">IF(AQ92="2",BI92,0)</f>
        <v>0</v>
      </c>
      <c r="AH92" s="82" t="n">
        <f aca="false">IF(AQ92="0",BJ92,0)</f>
        <v>0</v>
      </c>
      <c r="AI92" s="64" t="s">
        <v>99</v>
      </c>
      <c r="AJ92" s="82" t="n">
        <f aca="false">IF(AN92=0,L92,0)</f>
        <v>0</v>
      </c>
      <c r="AK92" s="82" t="n">
        <f aca="false">IF(AN92=15,L92,0)</f>
        <v>0</v>
      </c>
      <c r="AL92" s="82" t="n">
        <f aca="false">IF(AN92=21,L92,0)</f>
        <v>0</v>
      </c>
      <c r="AM92" s="51"/>
      <c r="AN92" s="82" t="n">
        <v>21</v>
      </c>
      <c r="AO92" s="82" t="n">
        <f aca="false">I92*0.856034482758621</f>
        <v>0</v>
      </c>
      <c r="AP92" s="82" t="n">
        <f aca="false">I92*(1-0.856034482758621)</f>
        <v>0</v>
      </c>
      <c r="AQ92" s="83" t="s">
        <v>132</v>
      </c>
      <c r="AR92" s="51"/>
      <c r="AS92" s="51"/>
      <c r="AT92" s="51"/>
      <c r="AU92" s="51"/>
      <c r="AV92" s="82" t="n">
        <f aca="false">AW92+AX92</f>
        <v>0</v>
      </c>
      <c r="AW92" s="82" t="n">
        <f aca="false">H92*AO92</f>
        <v>0</v>
      </c>
      <c r="AX92" s="82" t="n">
        <f aca="false">H92*AP92</f>
        <v>0</v>
      </c>
      <c r="AY92" s="83" t="s">
        <v>140</v>
      </c>
      <c r="AZ92" s="83" t="s">
        <v>141</v>
      </c>
      <c r="BA92" s="64" t="s">
        <v>107</v>
      </c>
      <c r="BB92" s="51"/>
      <c r="BC92" s="82" t="n">
        <f aca="false">AW92+AX92</f>
        <v>0</v>
      </c>
      <c r="BD92" s="82" t="n">
        <f aca="false">I92/(100-BE92)*100</f>
        <v>0</v>
      </c>
      <c r="BE92" s="82" t="n">
        <v>0</v>
      </c>
      <c r="BF92" s="82" t="n">
        <f aca="false">92</f>
        <v>92</v>
      </c>
      <c r="BG92" s="51"/>
      <c r="BH92" s="82" t="n">
        <f aca="false">H92*AO92</f>
        <v>0</v>
      </c>
      <c r="BI92" s="82" t="n">
        <f aca="false">H92*AP92</f>
        <v>0</v>
      </c>
      <c r="BJ92" s="82" t="n">
        <f aca="false">H92*I92</f>
        <v>0</v>
      </c>
      <c r="BK92" s="82"/>
      <c r="BL92" s="82" t="n">
        <v>722</v>
      </c>
    </row>
    <row r="93" customFormat="false" ht="15" hidden="false" customHeight="true" outlineLevel="0" collapsed="false">
      <c r="A93" s="78" t="s">
        <v>323</v>
      </c>
      <c r="B93" s="14" t="s">
        <v>300</v>
      </c>
      <c r="C93" s="14" t="s">
        <v>301</v>
      </c>
      <c r="D93" s="14"/>
      <c r="E93" s="14"/>
      <c r="F93" s="14"/>
      <c r="G93" s="14" t="s">
        <v>111</v>
      </c>
      <c r="H93" s="79" t="n">
        <v>20</v>
      </c>
      <c r="I93" s="80" t="n">
        <v>0</v>
      </c>
      <c r="J93" s="79" t="n">
        <f aca="false">H93*AO93</f>
        <v>0</v>
      </c>
      <c r="K93" s="79" t="n">
        <f aca="false">H93*AP93</f>
        <v>0</v>
      </c>
      <c r="L93" s="79" t="n">
        <f aca="false">H93*I93</f>
        <v>0</v>
      </c>
      <c r="M93" s="81" t="s">
        <v>104</v>
      </c>
      <c r="N93" s="53"/>
      <c r="O93" s="53"/>
      <c r="P93" s="53"/>
      <c r="Q93" s="53"/>
      <c r="R93" s="53"/>
      <c r="S93" s="53"/>
      <c r="T93" s="53"/>
      <c r="U93" s="53"/>
      <c r="V93" s="53"/>
      <c r="W93" s="53"/>
      <c r="X93" s="53"/>
      <c r="Y93" s="51"/>
      <c r="Z93" s="82" t="n">
        <f aca="false">IF(AQ93="5",BJ93,0)</f>
        <v>0</v>
      </c>
      <c r="AA93" s="51"/>
      <c r="AB93" s="82" t="n">
        <f aca="false">IF(AQ93="1",BH93,0)</f>
        <v>0</v>
      </c>
      <c r="AC93" s="82" t="n">
        <f aca="false">IF(AQ93="1",BI93,0)</f>
        <v>0</v>
      </c>
      <c r="AD93" s="82" t="n">
        <f aca="false">IF(AQ93="7",BH93,0)</f>
        <v>0</v>
      </c>
      <c r="AE93" s="82" t="n">
        <f aca="false">IF(AQ93="7",BI93,0)</f>
        <v>0</v>
      </c>
      <c r="AF93" s="82" t="n">
        <f aca="false">IF(AQ93="2",BH93,0)</f>
        <v>0</v>
      </c>
      <c r="AG93" s="82" t="n">
        <f aca="false">IF(AQ93="2",BI93,0)</f>
        <v>0</v>
      </c>
      <c r="AH93" s="82" t="n">
        <f aca="false">IF(AQ93="0",BJ93,0)</f>
        <v>0</v>
      </c>
      <c r="AI93" s="64" t="s">
        <v>99</v>
      </c>
      <c r="AJ93" s="82" t="n">
        <f aca="false">IF(AN93=0,L93,0)</f>
        <v>0</v>
      </c>
      <c r="AK93" s="82" t="n">
        <f aca="false">IF(AN93=15,L93,0)</f>
        <v>0</v>
      </c>
      <c r="AL93" s="82" t="n">
        <f aca="false">IF(AN93=21,L93,0)</f>
        <v>0</v>
      </c>
      <c r="AM93" s="51"/>
      <c r="AN93" s="82" t="n">
        <v>21</v>
      </c>
      <c r="AO93" s="82" t="n">
        <f aca="false">I93*0.581488158523244</f>
        <v>0</v>
      </c>
      <c r="AP93" s="82" t="n">
        <f aca="false">I93*(1-0.581488158523244)</f>
        <v>0</v>
      </c>
      <c r="AQ93" s="83" t="s">
        <v>132</v>
      </c>
      <c r="AR93" s="51"/>
      <c r="AS93" s="51"/>
      <c r="AT93" s="51"/>
      <c r="AU93" s="51"/>
      <c r="AV93" s="82" t="n">
        <f aca="false">AW93+AX93</f>
        <v>0</v>
      </c>
      <c r="AW93" s="82" t="n">
        <f aca="false">H93*AO93</f>
        <v>0</v>
      </c>
      <c r="AX93" s="82" t="n">
        <f aca="false">H93*AP93</f>
        <v>0</v>
      </c>
      <c r="AY93" s="83" t="s">
        <v>140</v>
      </c>
      <c r="AZ93" s="83" t="s">
        <v>141</v>
      </c>
      <c r="BA93" s="64" t="s">
        <v>107</v>
      </c>
      <c r="BB93" s="51"/>
      <c r="BC93" s="82" t="n">
        <f aca="false">AW93+AX93</f>
        <v>0</v>
      </c>
      <c r="BD93" s="82" t="n">
        <f aca="false">I93/(100-BE93)*100</f>
        <v>0</v>
      </c>
      <c r="BE93" s="82" t="n">
        <v>0</v>
      </c>
      <c r="BF93" s="82" t="n">
        <f aca="false">93</f>
        <v>93</v>
      </c>
      <c r="BG93" s="51"/>
      <c r="BH93" s="82" t="n">
        <f aca="false">H93*AO93</f>
        <v>0</v>
      </c>
      <c r="BI93" s="82" t="n">
        <f aca="false">H93*AP93</f>
        <v>0</v>
      </c>
      <c r="BJ93" s="82" t="n">
        <f aca="false">H93*I93</f>
        <v>0</v>
      </c>
      <c r="BK93" s="82"/>
      <c r="BL93" s="82" t="n">
        <v>722</v>
      </c>
    </row>
    <row r="94" customFormat="false" ht="15" hidden="false" customHeight="true" outlineLevel="0" collapsed="false">
      <c r="A94" s="78" t="s">
        <v>324</v>
      </c>
      <c r="B94" s="14" t="s">
        <v>303</v>
      </c>
      <c r="C94" s="14" t="s">
        <v>304</v>
      </c>
      <c r="D94" s="14"/>
      <c r="E94" s="14"/>
      <c r="F94" s="14"/>
      <c r="G94" s="14" t="s">
        <v>111</v>
      </c>
      <c r="H94" s="79" t="n">
        <v>30</v>
      </c>
      <c r="I94" s="80" t="n">
        <v>0</v>
      </c>
      <c r="J94" s="79" t="n">
        <f aca="false">H94*AO94</f>
        <v>0</v>
      </c>
      <c r="K94" s="79" t="n">
        <f aca="false">H94*AP94</f>
        <v>0</v>
      </c>
      <c r="L94" s="79" t="n">
        <f aca="false">H94*I94</f>
        <v>0</v>
      </c>
      <c r="M94" s="81" t="s">
        <v>104</v>
      </c>
      <c r="N94" s="53"/>
      <c r="O94" s="53"/>
      <c r="P94" s="53"/>
      <c r="Q94" s="53"/>
      <c r="R94" s="53"/>
      <c r="S94" s="53"/>
      <c r="T94" s="53"/>
      <c r="U94" s="53"/>
      <c r="V94" s="53"/>
      <c r="W94" s="53"/>
      <c r="X94" s="53"/>
      <c r="Y94" s="51"/>
      <c r="Z94" s="82" t="n">
        <f aca="false">IF(AQ94="5",BJ94,0)</f>
        <v>0</v>
      </c>
      <c r="AA94" s="51"/>
      <c r="AB94" s="82" t="n">
        <f aca="false">IF(AQ94="1",BH94,0)</f>
        <v>0</v>
      </c>
      <c r="AC94" s="82" t="n">
        <f aca="false">IF(AQ94="1",BI94,0)</f>
        <v>0</v>
      </c>
      <c r="AD94" s="82" t="n">
        <f aca="false">IF(AQ94="7",BH94,0)</f>
        <v>0</v>
      </c>
      <c r="AE94" s="82" t="n">
        <f aca="false">IF(AQ94="7",BI94,0)</f>
        <v>0</v>
      </c>
      <c r="AF94" s="82" t="n">
        <f aca="false">IF(AQ94="2",BH94,0)</f>
        <v>0</v>
      </c>
      <c r="AG94" s="82" t="n">
        <f aca="false">IF(AQ94="2",BI94,0)</f>
        <v>0</v>
      </c>
      <c r="AH94" s="82" t="n">
        <f aca="false">IF(AQ94="0",BJ94,0)</f>
        <v>0</v>
      </c>
      <c r="AI94" s="64" t="s">
        <v>99</v>
      </c>
      <c r="AJ94" s="82" t="n">
        <f aca="false">IF(AN94=0,L94,0)</f>
        <v>0</v>
      </c>
      <c r="AK94" s="82" t="n">
        <f aca="false">IF(AN94=15,L94,0)</f>
        <v>0</v>
      </c>
      <c r="AL94" s="82" t="n">
        <f aca="false">IF(AN94=21,L94,0)</f>
        <v>0</v>
      </c>
      <c r="AM94" s="51"/>
      <c r="AN94" s="82" t="n">
        <v>21</v>
      </c>
      <c r="AO94" s="82" t="n">
        <f aca="false">I94*0.433435700575816</f>
        <v>0</v>
      </c>
      <c r="AP94" s="82" t="n">
        <f aca="false">I94*(1-0.433435700575816)</f>
        <v>0</v>
      </c>
      <c r="AQ94" s="83" t="s">
        <v>132</v>
      </c>
      <c r="AR94" s="51"/>
      <c r="AS94" s="51"/>
      <c r="AT94" s="51"/>
      <c r="AU94" s="51"/>
      <c r="AV94" s="82" t="n">
        <f aca="false">AW94+AX94</f>
        <v>0</v>
      </c>
      <c r="AW94" s="82" t="n">
        <f aca="false">H94*AO94</f>
        <v>0</v>
      </c>
      <c r="AX94" s="82" t="n">
        <f aca="false">H94*AP94</f>
        <v>0</v>
      </c>
      <c r="AY94" s="83" t="s">
        <v>140</v>
      </c>
      <c r="AZ94" s="83" t="s">
        <v>141</v>
      </c>
      <c r="BA94" s="64" t="s">
        <v>107</v>
      </c>
      <c r="BB94" s="51"/>
      <c r="BC94" s="82" t="n">
        <f aca="false">AW94+AX94</f>
        <v>0</v>
      </c>
      <c r="BD94" s="82" t="n">
        <f aca="false">I94/(100-BE94)*100</f>
        <v>0</v>
      </c>
      <c r="BE94" s="82" t="n">
        <v>0</v>
      </c>
      <c r="BF94" s="82" t="n">
        <f aca="false">94</f>
        <v>94</v>
      </c>
      <c r="BG94" s="51"/>
      <c r="BH94" s="82" t="n">
        <f aca="false">H94*AO94</f>
        <v>0</v>
      </c>
      <c r="BI94" s="82" t="n">
        <f aca="false">H94*AP94</f>
        <v>0</v>
      </c>
      <c r="BJ94" s="82" t="n">
        <f aca="false">H94*I94</f>
        <v>0</v>
      </c>
      <c r="BK94" s="82"/>
      <c r="BL94" s="82" t="n">
        <v>722</v>
      </c>
    </row>
    <row r="95" customFormat="false" ht="15" hidden="false" customHeight="true" outlineLevel="0" collapsed="false">
      <c r="A95" s="78" t="s">
        <v>325</v>
      </c>
      <c r="B95" s="14" t="s">
        <v>326</v>
      </c>
      <c r="C95" s="14" t="s">
        <v>327</v>
      </c>
      <c r="D95" s="14"/>
      <c r="E95" s="14"/>
      <c r="F95" s="14"/>
      <c r="G95" s="14" t="s">
        <v>328</v>
      </c>
      <c r="H95" s="79" t="n">
        <v>6</v>
      </c>
      <c r="I95" s="80" t="n">
        <v>0</v>
      </c>
      <c r="J95" s="79" t="n">
        <f aca="false">H95*AO95</f>
        <v>0</v>
      </c>
      <c r="K95" s="79" t="n">
        <f aca="false">H95*AP95</f>
        <v>0</v>
      </c>
      <c r="L95" s="79" t="n">
        <f aca="false">H95*I95</f>
        <v>0</v>
      </c>
      <c r="M95" s="81" t="s">
        <v>104</v>
      </c>
      <c r="N95" s="53"/>
      <c r="O95" s="53"/>
      <c r="P95" s="53"/>
      <c r="Q95" s="53"/>
      <c r="R95" s="53"/>
      <c r="S95" s="53"/>
      <c r="T95" s="53"/>
      <c r="U95" s="53"/>
      <c r="V95" s="53"/>
      <c r="W95" s="53"/>
      <c r="X95" s="53"/>
      <c r="Y95" s="51"/>
      <c r="Z95" s="82" t="n">
        <f aca="false">IF(AQ95="5",BJ95,0)</f>
        <v>0</v>
      </c>
      <c r="AA95" s="51"/>
      <c r="AB95" s="82" t="n">
        <f aca="false">IF(AQ95="1",BH95,0)</f>
        <v>0</v>
      </c>
      <c r="AC95" s="82" t="n">
        <f aca="false">IF(AQ95="1",BI95,0)</f>
        <v>0</v>
      </c>
      <c r="AD95" s="82" t="n">
        <f aca="false">IF(AQ95="7",BH95,0)</f>
        <v>0</v>
      </c>
      <c r="AE95" s="82" t="n">
        <f aca="false">IF(AQ95="7",BI95,0)</f>
        <v>0</v>
      </c>
      <c r="AF95" s="82" t="n">
        <f aca="false">IF(AQ95="2",BH95,0)</f>
        <v>0</v>
      </c>
      <c r="AG95" s="82" t="n">
        <f aca="false">IF(AQ95="2",BI95,0)</f>
        <v>0</v>
      </c>
      <c r="AH95" s="82" t="n">
        <f aca="false">IF(AQ95="0",BJ95,0)</f>
        <v>0</v>
      </c>
      <c r="AI95" s="64" t="s">
        <v>99</v>
      </c>
      <c r="AJ95" s="82" t="n">
        <f aca="false">IF(AN95=0,L95,0)</f>
        <v>0</v>
      </c>
      <c r="AK95" s="82" t="n">
        <f aca="false">IF(AN95=15,L95,0)</f>
        <v>0</v>
      </c>
      <c r="AL95" s="82" t="n">
        <f aca="false">IF(AN95=21,L95,0)</f>
        <v>0</v>
      </c>
      <c r="AM95" s="51"/>
      <c r="AN95" s="82" t="n">
        <v>21</v>
      </c>
      <c r="AO95" s="82" t="n">
        <f aca="false">I95*0.856406084793294</f>
        <v>0</v>
      </c>
      <c r="AP95" s="82" t="n">
        <f aca="false">I95*(1-0.856406084793294)</f>
        <v>0</v>
      </c>
      <c r="AQ95" s="83" t="s">
        <v>132</v>
      </c>
      <c r="AR95" s="51"/>
      <c r="AS95" s="51"/>
      <c r="AT95" s="51"/>
      <c r="AU95" s="51"/>
      <c r="AV95" s="82" t="n">
        <f aca="false">AW95+AX95</f>
        <v>0</v>
      </c>
      <c r="AW95" s="82" t="n">
        <f aca="false">H95*AO95</f>
        <v>0</v>
      </c>
      <c r="AX95" s="82" t="n">
        <f aca="false">H95*AP95</f>
        <v>0</v>
      </c>
      <c r="AY95" s="83" t="s">
        <v>140</v>
      </c>
      <c r="AZ95" s="83" t="s">
        <v>141</v>
      </c>
      <c r="BA95" s="64" t="s">
        <v>107</v>
      </c>
      <c r="BB95" s="51"/>
      <c r="BC95" s="82" t="n">
        <f aca="false">AW95+AX95</f>
        <v>0</v>
      </c>
      <c r="BD95" s="82" t="n">
        <f aca="false">I95/(100-BE95)*100</f>
        <v>0</v>
      </c>
      <c r="BE95" s="82" t="n">
        <v>0</v>
      </c>
      <c r="BF95" s="82" t="n">
        <f aca="false">95</f>
        <v>95</v>
      </c>
      <c r="BG95" s="51"/>
      <c r="BH95" s="82" t="n">
        <f aca="false">H95*AO95</f>
        <v>0</v>
      </c>
      <c r="BI95" s="82" t="n">
        <f aca="false">H95*AP95</f>
        <v>0</v>
      </c>
      <c r="BJ95" s="82" t="n">
        <f aca="false">H95*I95</f>
        <v>0</v>
      </c>
      <c r="BK95" s="82"/>
      <c r="BL95" s="82" t="n">
        <v>722</v>
      </c>
    </row>
    <row r="96" customFormat="false" ht="15" hidden="false" customHeight="true" outlineLevel="0" collapsed="false">
      <c r="A96" s="78" t="s">
        <v>329</v>
      </c>
      <c r="B96" s="14" t="s">
        <v>330</v>
      </c>
      <c r="C96" s="14" t="s">
        <v>331</v>
      </c>
      <c r="D96" s="14"/>
      <c r="E96" s="14"/>
      <c r="F96" s="14"/>
      <c r="G96" s="14" t="s">
        <v>111</v>
      </c>
      <c r="H96" s="79" t="n">
        <v>2</v>
      </c>
      <c r="I96" s="80" t="n">
        <v>0</v>
      </c>
      <c r="J96" s="79" t="n">
        <f aca="false">H96*AO96</f>
        <v>0</v>
      </c>
      <c r="K96" s="79" t="n">
        <f aca="false">H96*AP96</f>
        <v>0</v>
      </c>
      <c r="L96" s="79" t="n">
        <f aca="false">H96*I96</f>
        <v>0</v>
      </c>
      <c r="M96" s="81" t="s">
        <v>104</v>
      </c>
      <c r="N96" s="53"/>
      <c r="O96" s="53"/>
      <c r="P96" s="53"/>
      <c r="Q96" s="53"/>
      <c r="R96" s="53"/>
      <c r="S96" s="53"/>
      <c r="T96" s="53"/>
      <c r="U96" s="53"/>
      <c r="V96" s="53"/>
      <c r="W96" s="53"/>
      <c r="X96" s="53"/>
      <c r="Y96" s="51"/>
      <c r="Z96" s="82" t="n">
        <f aca="false">IF(AQ96="5",BJ96,0)</f>
        <v>0</v>
      </c>
      <c r="AA96" s="51"/>
      <c r="AB96" s="82" t="n">
        <f aca="false">IF(AQ96="1",BH96,0)</f>
        <v>0</v>
      </c>
      <c r="AC96" s="82" t="n">
        <f aca="false">IF(AQ96="1",BI96,0)</f>
        <v>0</v>
      </c>
      <c r="AD96" s="82" t="n">
        <f aca="false">IF(AQ96="7",BH96,0)</f>
        <v>0</v>
      </c>
      <c r="AE96" s="82" t="n">
        <f aca="false">IF(AQ96="7",BI96,0)</f>
        <v>0</v>
      </c>
      <c r="AF96" s="82" t="n">
        <f aca="false">IF(AQ96="2",BH96,0)</f>
        <v>0</v>
      </c>
      <c r="AG96" s="82" t="n">
        <f aca="false">IF(AQ96="2",BI96,0)</f>
        <v>0</v>
      </c>
      <c r="AH96" s="82" t="n">
        <f aca="false">IF(AQ96="0",BJ96,0)</f>
        <v>0</v>
      </c>
      <c r="AI96" s="64" t="s">
        <v>99</v>
      </c>
      <c r="AJ96" s="82" t="n">
        <f aca="false">IF(AN96=0,L96,0)</f>
        <v>0</v>
      </c>
      <c r="AK96" s="82" t="n">
        <f aca="false">IF(AN96=15,L96,0)</f>
        <v>0</v>
      </c>
      <c r="AL96" s="82" t="n">
        <f aca="false">IF(AN96=21,L96,0)</f>
        <v>0</v>
      </c>
      <c r="AM96" s="51"/>
      <c r="AN96" s="82" t="n">
        <v>21</v>
      </c>
      <c r="AO96" s="82" t="n">
        <f aca="false">I96*0.968287833827893</f>
        <v>0</v>
      </c>
      <c r="AP96" s="82" t="n">
        <f aca="false">I96*(1-0.968287833827893)</f>
        <v>0</v>
      </c>
      <c r="AQ96" s="83" t="s">
        <v>132</v>
      </c>
      <c r="AR96" s="51"/>
      <c r="AS96" s="51"/>
      <c r="AT96" s="51"/>
      <c r="AU96" s="51"/>
      <c r="AV96" s="82" t="n">
        <f aca="false">AW96+AX96</f>
        <v>0</v>
      </c>
      <c r="AW96" s="82" t="n">
        <f aca="false">H96*AO96</f>
        <v>0</v>
      </c>
      <c r="AX96" s="82" t="n">
        <f aca="false">H96*AP96</f>
        <v>0</v>
      </c>
      <c r="AY96" s="83" t="s">
        <v>140</v>
      </c>
      <c r="AZ96" s="83" t="s">
        <v>141</v>
      </c>
      <c r="BA96" s="64" t="s">
        <v>107</v>
      </c>
      <c r="BB96" s="51"/>
      <c r="BC96" s="82" t="n">
        <f aca="false">AW96+AX96</f>
        <v>0</v>
      </c>
      <c r="BD96" s="82" t="n">
        <f aca="false">I96/(100-BE96)*100</f>
        <v>0</v>
      </c>
      <c r="BE96" s="82" t="n">
        <v>0</v>
      </c>
      <c r="BF96" s="82" t="n">
        <f aca="false">96</f>
        <v>96</v>
      </c>
      <c r="BG96" s="51"/>
      <c r="BH96" s="82" t="n">
        <f aca="false">H96*AO96</f>
        <v>0</v>
      </c>
      <c r="BI96" s="82" t="n">
        <f aca="false">H96*AP96</f>
        <v>0</v>
      </c>
      <c r="BJ96" s="82" t="n">
        <f aca="false">H96*I96</f>
        <v>0</v>
      </c>
      <c r="BK96" s="82"/>
      <c r="BL96" s="82" t="n">
        <v>722</v>
      </c>
    </row>
    <row r="97" customFormat="false" ht="15" hidden="false" customHeight="true" outlineLevel="0" collapsed="false">
      <c r="A97" s="78" t="s">
        <v>332</v>
      </c>
      <c r="B97" s="14" t="s">
        <v>333</v>
      </c>
      <c r="C97" s="14" t="s">
        <v>334</v>
      </c>
      <c r="D97" s="14"/>
      <c r="E97" s="14"/>
      <c r="F97" s="14"/>
      <c r="G97" s="14" t="s">
        <v>124</v>
      </c>
      <c r="H97" s="79" t="n">
        <v>204</v>
      </c>
      <c r="I97" s="80" t="n">
        <v>0</v>
      </c>
      <c r="J97" s="79" t="n">
        <f aca="false">H97*AO97</f>
        <v>0</v>
      </c>
      <c r="K97" s="79" t="n">
        <f aca="false">H97*AP97</f>
        <v>0</v>
      </c>
      <c r="L97" s="79" t="n">
        <f aca="false">H97*I97</f>
        <v>0</v>
      </c>
      <c r="M97" s="81" t="s">
        <v>104</v>
      </c>
      <c r="N97" s="53"/>
      <c r="O97" s="53"/>
      <c r="P97" s="53"/>
      <c r="Q97" s="53"/>
      <c r="R97" s="53"/>
      <c r="S97" s="53"/>
      <c r="T97" s="53"/>
      <c r="U97" s="53"/>
      <c r="V97" s="53"/>
      <c r="W97" s="53"/>
      <c r="X97" s="53"/>
      <c r="Y97" s="51"/>
      <c r="Z97" s="82" t="n">
        <f aca="false">IF(AQ97="5",BJ97,0)</f>
        <v>0</v>
      </c>
      <c r="AA97" s="51"/>
      <c r="AB97" s="82" t="n">
        <f aca="false">IF(AQ97="1",BH97,0)</f>
        <v>0</v>
      </c>
      <c r="AC97" s="82" t="n">
        <f aca="false">IF(AQ97="1",BI97,0)</f>
        <v>0</v>
      </c>
      <c r="AD97" s="82" t="n">
        <f aca="false">IF(AQ97="7",BH97,0)</f>
        <v>0</v>
      </c>
      <c r="AE97" s="82" t="n">
        <f aca="false">IF(AQ97="7",BI97,0)</f>
        <v>0</v>
      </c>
      <c r="AF97" s="82" t="n">
        <f aca="false">IF(AQ97="2",BH97,0)</f>
        <v>0</v>
      </c>
      <c r="AG97" s="82" t="n">
        <f aca="false">IF(AQ97="2",BI97,0)</f>
        <v>0</v>
      </c>
      <c r="AH97" s="82" t="n">
        <f aca="false">IF(AQ97="0",BJ97,0)</f>
        <v>0</v>
      </c>
      <c r="AI97" s="64" t="s">
        <v>99</v>
      </c>
      <c r="AJ97" s="82" t="n">
        <f aca="false">IF(AN97=0,L97,0)</f>
        <v>0</v>
      </c>
      <c r="AK97" s="82" t="n">
        <f aca="false">IF(AN97=15,L97,0)</f>
        <v>0</v>
      </c>
      <c r="AL97" s="82" t="n">
        <f aca="false">IF(AN97=21,L97,0)</f>
        <v>0</v>
      </c>
      <c r="AM97" s="51"/>
      <c r="AN97" s="82" t="n">
        <v>21</v>
      </c>
      <c r="AO97" s="82" t="n">
        <f aca="false">I97*0.68667638483965</f>
        <v>0</v>
      </c>
      <c r="AP97" s="82" t="n">
        <f aca="false">I97*(1-0.68667638483965)</f>
        <v>0</v>
      </c>
      <c r="AQ97" s="83" t="s">
        <v>132</v>
      </c>
      <c r="AR97" s="51"/>
      <c r="AS97" s="51"/>
      <c r="AT97" s="51"/>
      <c r="AU97" s="51"/>
      <c r="AV97" s="82" t="n">
        <f aca="false">AW97+AX97</f>
        <v>0</v>
      </c>
      <c r="AW97" s="82" t="n">
        <f aca="false">H97*AO97</f>
        <v>0</v>
      </c>
      <c r="AX97" s="82" t="n">
        <f aca="false">H97*AP97</f>
        <v>0</v>
      </c>
      <c r="AY97" s="83" t="s">
        <v>140</v>
      </c>
      <c r="AZ97" s="83" t="s">
        <v>141</v>
      </c>
      <c r="BA97" s="64" t="s">
        <v>107</v>
      </c>
      <c r="BB97" s="51"/>
      <c r="BC97" s="82" t="n">
        <f aca="false">AW97+AX97</f>
        <v>0</v>
      </c>
      <c r="BD97" s="82" t="n">
        <f aca="false">I97/(100-BE97)*100</f>
        <v>0</v>
      </c>
      <c r="BE97" s="82" t="n">
        <v>0</v>
      </c>
      <c r="BF97" s="82" t="n">
        <f aca="false">97</f>
        <v>97</v>
      </c>
      <c r="BG97" s="51"/>
      <c r="BH97" s="82" t="n">
        <f aca="false">H97*AO97</f>
        <v>0</v>
      </c>
      <c r="BI97" s="82" t="n">
        <f aca="false">H97*AP97</f>
        <v>0</v>
      </c>
      <c r="BJ97" s="82" t="n">
        <f aca="false">H97*I97</f>
        <v>0</v>
      </c>
      <c r="BK97" s="82"/>
      <c r="BL97" s="82" t="n">
        <v>722</v>
      </c>
    </row>
    <row r="98" customFormat="false" ht="15" hidden="false" customHeight="true" outlineLevel="0" collapsed="false">
      <c r="A98" s="78" t="s">
        <v>335</v>
      </c>
      <c r="B98" s="14" t="s">
        <v>336</v>
      </c>
      <c r="C98" s="14" t="s">
        <v>334</v>
      </c>
      <c r="D98" s="14"/>
      <c r="E98" s="14"/>
      <c r="F98" s="14"/>
      <c r="G98" s="14" t="s">
        <v>124</v>
      </c>
      <c r="H98" s="79" t="n">
        <v>64.5</v>
      </c>
      <c r="I98" s="80" t="n">
        <v>0</v>
      </c>
      <c r="J98" s="79" t="n">
        <f aca="false">H98*AO98</f>
        <v>0</v>
      </c>
      <c r="K98" s="79" t="n">
        <f aca="false">H98*AP98</f>
        <v>0</v>
      </c>
      <c r="L98" s="79" t="n">
        <f aca="false">H98*I98</f>
        <v>0</v>
      </c>
      <c r="M98" s="81" t="s">
        <v>104</v>
      </c>
      <c r="N98" s="53"/>
      <c r="O98" s="53"/>
      <c r="P98" s="53"/>
      <c r="Q98" s="53"/>
      <c r="R98" s="53"/>
      <c r="S98" s="53"/>
      <c r="T98" s="53"/>
      <c r="U98" s="53"/>
      <c r="V98" s="53"/>
      <c r="W98" s="53"/>
      <c r="X98" s="53"/>
      <c r="Y98" s="51"/>
      <c r="Z98" s="82" t="n">
        <f aca="false">IF(AQ98="5",BJ98,0)</f>
        <v>0</v>
      </c>
      <c r="AA98" s="51"/>
      <c r="AB98" s="82" t="n">
        <f aca="false">IF(AQ98="1",BH98,0)</f>
        <v>0</v>
      </c>
      <c r="AC98" s="82" t="n">
        <f aca="false">IF(AQ98="1",BI98,0)</f>
        <v>0</v>
      </c>
      <c r="AD98" s="82" t="n">
        <f aca="false">IF(AQ98="7",BH98,0)</f>
        <v>0</v>
      </c>
      <c r="AE98" s="82" t="n">
        <f aca="false">IF(AQ98="7",BI98,0)</f>
        <v>0</v>
      </c>
      <c r="AF98" s="82" t="n">
        <f aca="false">IF(AQ98="2",BH98,0)</f>
        <v>0</v>
      </c>
      <c r="AG98" s="82" t="n">
        <f aca="false">IF(AQ98="2",BI98,0)</f>
        <v>0</v>
      </c>
      <c r="AH98" s="82" t="n">
        <f aca="false">IF(AQ98="0",BJ98,0)</f>
        <v>0</v>
      </c>
      <c r="AI98" s="64" t="s">
        <v>99</v>
      </c>
      <c r="AJ98" s="82" t="n">
        <f aca="false">IF(AN98=0,L98,0)</f>
        <v>0</v>
      </c>
      <c r="AK98" s="82" t="n">
        <f aca="false">IF(AN98=15,L98,0)</f>
        <v>0</v>
      </c>
      <c r="AL98" s="82" t="n">
        <f aca="false">IF(AN98=21,L98,0)</f>
        <v>0</v>
      </c>
      <c r="AM98" s="51"/>
      <c r="AN98" s="82" t="n">
        <v>21</v>
      </c>
      <c r="AO98" s="82" t="n">
        <f aca="false">I98*0.579957983193277</f>
        <v>0</v>
      </c>
      <c r="AP98" s="82" t="n">
        <f aca="false">I98*(1-0.579957983193277)</f>
        <v>0</v>
      </c>
      <c r="AQ98" s="83" t="s">
        <v>132</v>
      </c>
      <c r="AR98" s="51"/>
      <c r="AS98" s="51"/>
      <c r="AT98" s="51"/>
      <c r="AU98" s="51"/>
      <c r="AV98" s="82" t="n">
        <f aca="false">AW98+AX98</f>
        <v>0</v>
      </c>
      <c r="AW98" s="82" t="n">
        <f aca="false">H98*AO98</f>
        <v>0</v>
      </c>
      <c r="AX98" s="82" t="n">
        <f aca="false">H98*AP98</f>
        <v>0</v>
      </c>
      <c r="AY98" s="83" t="s">
        <v>140</v>
      </c>
      <c r="AZ98" s="83" t="s">
        <v>141</v>
      </c>
      <c r="BA98" s="64" t="s">
        <v>107</v>
      </c>
      <c r="BB98" s="51"/>
      <c r="BC98" s="82" t="n">
        <f aca="false">AW98+AX98</f>
        <v>0</v>
      </c>
      <c r="BD98" s="82" t="n">
        <f aca="false">I98/(100-BE98)*100</f>
        <v>0</v>
      </c>
      <c r="BE98" s="82" t="n">
        <v>0</v>
      </c>
      <c r="BF98" s="82" t="n">
        <f aca="false">98</f>
        <v>98</v>
      </c>
      <c r="BG98" s="51"/>
      <c r="BH98" s="82" t="n">
        <f aca="false">H98*AO98</f>
        <v>0</v>
      </c>
      <c r="BI98" s="82" t="n">
        <f aca="false">H98*AP98</f>
        <v>0</v>
      </c>
      <c r="BJ98" s="82" t="n">
        <f aca="false">H98*I98</f>
        <v>0</v>
      </c>
      <c r="BK98" s="82"/>
      <c r="BL98" s="82" t="n">
        <v>722</v>
      </c>
    </row>
    <row r="99" customFormat="false" ht="15" hidden="false" customHeight="true" outlineLevel="0" collapsed="false">
      <c r="A99" s="78" t="s">
        <v>337</v>
      </c>
      <c r="B99" s="14" t="s">
        <v>338</v>
      </c>
      <c r="C99" s="14" t="s">
        <v>334</v>
      </c>
      <c r="D99" s="14"/>
      <c r="E99" s="14"/>
      <c r="F99" s="14"/>
      <c r="G99" s="14" t="s">
        <v>124</v>
      </c>
      <c r="H99" s="79" t="n">
        <v>107.8</v>
      </c>
      <c r="I99" s="80" t="n">
        <v>0</v>
      </c>
      <c r="J99" s="79" t="n">
        <f aca="false">H99*AO99</f>
        <v>0</v>
      </c>
      <c r="K99" s="79" t="n">
        <f aca="false">H99*AP99</f>
        <v>0</v>
      </c>
      <c r="L99" s="79" t="n">
        <f aca="false">H99*I99</f>
        <v>0</v>
      </c>
      <c r="M99" s="81" t="s">
        <v>104</v>
      </c>
      <c r="N99" s="53"/>
      <c r="O99" s="53"/>
      <c r="P99" s="53"/>
      <c r="Q99" s="53"/>
      <c r="R99" s="53"/>
      <c r="S99" s="53"/>
      <c r="T99" s="53"/>
      <c r="U99" s="53"/>
      <c r="V99" s="53"/>
      <c r="W99" s="53"/>
      <c r="X99" s="53"/>
      <c r="Y99" s="51"/>
      <c r="Z99" s="82" t="n">
        <f aca="false">IF(AQ99="5",BJ99,0)</f>
        <v>0</v>
      </c>
      <c r="AA99" s="51"/>
      <c r="AB99" s="82" t="n">
        <f aca="false">IF(AQ99="1",BH99,0)</f>
        <v>0</v>
      </c>
      <c r="AC99" s="82" t="n">
        <f aca="false">IF(AQ99="1",BI99,0)</f>
        <v>0</v>
      </c>
      <c r="AD99" s="82" t="n">
        <f aca="false">IF(AQ99="7",BH99,0)</f>
        <v>0</v>
      </c>
      <c r="AE99" s="82" t="n">
        <f aca="false">IF(AQ99="7",BI99,0)</f>
        <v>0</v>
      </c>
      <c r="AF99" s="82" t="n">
        <f aca="false">IF(AQ99="2",BH99,0)</f>
        <v>0</v>
      </c>
      <c r="AG99" s="82" t="n">
        <f aca="false">IF(AQ99="2",BI99,0)</f>
        <v>0</v>
      </c>
      <c r="AH99" s="82" t="n">
        <f aca="false">IF(AQ99="0",BJ99,0)</f>
        <v>0</v>
      </c>
      <c r="AI99" s="64" t="s">
        <v>99</v>
      </c>
      <c r="AJ99" s="82" t="n">
        <f aca="false">IF(AN99=0,L99,0)</f>
        <v>0</v>
      </c>
      <c r="AK99" s="82" t="n">
        <f aca="false">IF(AN99=15,L99,0)</f>
        <v>0</v>
      </c>
      <c r="AL99" s="82" t="n">
        <f aca="false">IF(AN99=21,L99,0)</f>
        <v>0</v>
      </c>
      <c r="AM99" s="51"/>
      <c r="AN99" s="82" t="n">
        <v>21</v>
      </c>
      <c r="AO99" s="82" t="n">
        <f aca="false">I99*0.568629441624365</f>
        <v>0</v>
      </c>
      <c r="AP99" s="82" t="n">
        <f aca="false">I99*(1-0.568629441624365)</f>
        <v>0</v>
      </c>
      <c r="AQ99" s="83" t="s">
        <v>132</v>
      </c>
      <c r="AR99" s="51"/>
      <c r="AS99" s="51"/>
      <c r="AT99" s="51"/>
      <c r="AU99" s="51"/>
      <c r="AV99" s="82" t="n">
        <f aca="false">AW99+AX99</f>
        <v>0</v>
      </c>
      <c r="AW99" s="82" t="n">
        <f aca="false">H99*AO99</f>
        <v>0</v>
      </c>
      <c r="AX99" s="82" t="n">
        <f aca="false">H99*AP99</f>
        <v>0</v>
      </c>
      <c r="AY99" s="83" t="s">
        <v>140</v>
      </c>
      <c r="AZ99" s="83" t="s">
        <v>141</v>
      </c>
      <c r="BA99" s="64" t="s">
        <v>107</v>
      </c>
      <c r="BB99" s="51"/>
      <c r="BC99" s="82" t="n">
        <f aca="false">AW99+AX99</f>
        <v>0</v>
      </c>
      <c r="BD99" s="82" t="n">
        <f aca="false">I99/(100-BE99)*100</f>
        <v>0</v>
      </c>
      <c r="BE99" s="82" t="n">
        <v>0</v>
      </c>
      <c r="BF99" s="82" t="n">
        <f aca="false">99</f>
        <v>99</v>
      </c>
      <c r="BG99" s="51"/>
      <c r="BH99" s="82" t="n">
        <f aca="false">H99*AO99</f>
        <v>0</v>
      </c>
      <c r="BI99" s="82" t="n">
        <f aca="false">H99*AP99</f>
        <v>0</v>
      </c>
      <c r="BJ99" s="82" t="n">
        <f aca="false">H99*I99</f>
        <v>0</v>
      </c>
      <c r="BK99" s="82"/>
      <c r="BL99" s="82" t="n">
        <v>722</v>
      </c>
    </row>
    <row r="100" customFormat="false" ht="15" hidden="false" customHeight="true" outlineLevel="0" collapsed="false">
      <c r="A100" s="78" t="s">
        <v>339</v>
      </c>
      <c r="B100" s="14" t="s">
        <v>340</v>
      </c>
      <c r="C100" s="14" t="s">
        <v>334</v>
      </c>
      <c r="D100" s="14"/>
      <c r="E100" s="14"/>
      <c r="F100" s="14"/>
      <c r="G100" s="14" t="s">
        <v>124</v>
      </c>
      <c r="H100" s="79" t="n">
        <v>60.7</v>
      </c>
      <c r="I100" s="80" t="n">
        <v>0</v>
      </c>
      <c r="J100" s="79" t="n">
        <f aca="false">H100*AO100</f>
        <v>0</v>
      </c>
      <c r="K100" s="79" t="n">
        <f aca="false">H100*AP100</f>
        <v>0</v>
      </c>
      <c r="L100" s="79" t="n">
        <f aca="false">H100*I100</f>
        <v>0</v>
      </c>
      <c r="M100" s="81" t="s">
        <v>104</v>
      </c>
      <c r="N100" s="53"/>
      <c r="O100" s="53"/>
      <c r="P100" s="53"/>
      <c r="Q100" s="53"/>
      <c r="R100" s="53"/>
      <c r="S100" s="53"/>
      <c r="T100" s="53"/>
      <c r="U100" s="53"/>
      <c r="V100" s="53"/>
      <c r="W100" s="53"/>
      <c r="X100" s="53"/>
      <c r="Y100" s="51"/>
      <c r="Z100" s="82" t="n">
        <f aca="false">IF(AQ100="5",BJ100,0)</f>
        <v>0</v>
      </c>
      <c r="AA100" s="51"/>
      <c r="AB100" s="82" t="n">
        <f aca="false">IF(AQ100="1",BH100,0)</f>
        <v>0</v>
      </c>
      <c r="AC100" s="82" t="n">
        <f aca="false">IF(AQ100="1",BI100,0)</f>
        <v>0</v>
      </c>
      <c r="AD100" s="82" t="n">
        <f aca="false">IF(AQ100="7",BH100,0)</f>
        <v>0</v>
      </c>
      <c r="AE100" s="82" t="n">
        <f aca="false">IF(AQ100="7",BI100,0)</f>
        <v>0</v>
      </c>
      <c r="AF100" s="82" t="n">
        <f aca="false">IF(AQ100="2",BH100,0)</f>
        <v>0</v>
      </c>
      <c r="AG100" s="82" t="n">
        <f aca="false">IF(AQ100="2",BI100,0)</f>
        <v>0</v>
      </c>
      <c r="AH100" s="82" t="n">
        <f aca="false">IF(AQ100="0",BJ100,0)</f>
        <v>0</v>
      </c>
      <c r="AI100" s="64" t="s">
        <v>99</v>
      </c>
      <c r="AJ100" s="82" t="n">
        <f aca="false">IF(AN100=0,L100,0)</f>
        <v>0</v>
      </c>
      <c r="AK100" s="82" t="n">
        <f aca="false">IF(AN100=15,L100,0)</f>
        <v>0</v>
      </c>
      <c r="AL100" s="82" t="n">
        <f aca="false">IF(AN100=21,L100,0)</f>
        <v>0</v>
      </c>
      <c r="AM100" s="51"/>
      <c r="AN100" s="82" t="n">
        <v>21</v>
      </c>
      <c r="AO100" s="82" t="n">
        <f aca="false">I100*0.534302670623145</f>
        <v>0</v>
      </c>
      <c r="AP100" s="82" t="n">
        <f aca="false">I100*(1-0.534302670623145)</f>
        <v>0</v>
      </c>
      <c r="AQ100" s="83" t="s">
        <v>132</v>
      </c>
      <c r="AR100" s="51"/>
      <c r="AS100" s="51"/>
      <c r="AT100" s="51"/>
      <c r="AU100" s="51"/>
      <c r="AV100" s="82" t="n">
        <f aca="false">AW100+AX100</f>
        <v>0</v>
      </c>
      <c r="AW100" s="82" t="n">
        <f aca="false">H100*AO100</f>
        <v>0</v>
      </c>
      <c r="AX100" s="82" t="n">
        <f aca="false">H100*AP100</f>
        <v>0</v>
      </c>
      <c r="AY100" s="83" t="s">
        <v>140</v>
      </c>
      <c r="AZ100" s="83" t="s">
        <v>141</v>
      </c>
      <c r="BA100" s="64" t="s">
        <v>107</v>
      </c>
      <c r="BB100" s="51"/>
      <c r="BC100" s="82" t="n">
        <f aca="false">AW100+AX100</f>
        <v>0</v>
      </c>
      <c r="BD100" s="82" t="n">
        <f aca="false">I100/(100-BE100)*100</f>
        <v>0</v>
      </c>
      <c r="BE100" s="82" t="n">
        <v>0</v>
      </c>
      <c r="BF100" s="82" t="n">
        <f aca="false">100</f>
        <v>100</v>
      </c>
      <c r="BG100" s="51"/>
      <c r="BH100" s="82" t="n">
        <f aca="false">H100*AO100</f>
        <v>0</v>
      </c>
      <c r="BI100" s="82" t="n">
        <f aca="false">H100*AP100</f>
        <v>0</v>
      </c>
      <c r="BJ100" s="82" t="n">
        <f aca="false">H100*I100</f>
        <v>0</v>
      </c>
      <c r="BK100" s="82"/>
      <c r="BL100" s="82" t="n">
        <v>722</v>
      </c>
    </row>
    <row r="101" customFormat="false" ht="15" hidden="false" customHeight="true" outlineLevel="0" collapsed="false">
      <c r="A101" s="78" t="s">
        <v>341</v>
      </c>
      <c r="B101" s="14" t="s">
        <v>342</v>
      </c>
      <c r="C101" s="14" t="s">
        <v>334</v>
      </c>
      <c r="D101" s="14"/>
      <c r="E101" s="14"/>
      <c r="F101" s="14"/>
      <c r="G101" s="14" t="s">
        <v>124</v>
      </c>
      <c r="H101" s="79" t="n">
        <v>354.6</v>
      </c>
      <c r="I101" s="80" t="n">
        <v>0</v>
      </c>
      <c r="J101" s="79" t="n">
        <f aca="false">H101*AO101</f>
        <v>0</v>
      </c>
      <c r="K101" s="79" t="n">
        <f aca="false">H101*AP101</f>
        <v>0</v>
      </c>
      <c r="L101" s="79" t="n">
        <f aca="false">H101*I101</f>
        <v>0</v>
      </c>
      <c r="M101" s="81" t="s">
        <v>104</v>
      </c>
      <c r="N101" s="53"/>
      <c r="O101" s="53"/>
      <c r="P101" s="53"/>
      <c r="Q101" s="53"/>
      <c r="R101" s="53"/>
      <c r="S101" s="53"/>
      <c r="T101" s="53"/>
      <c r="U101" s="53"/>
      <c r="V101" s="53"/>
      <c r="W101" s="53"/>
      <c r="X101" s="53"/>
      <c r="Y101" s="51"/>
      <c r="Z101" s="82" t="n">
        <f aca="false">IF(AQ101="5",BJ101,0)</f>
        <v>0</v>
      </c>
      <c r="AA101" s="51"/>
      <c r="AB101" s="82" t="n">
        <f aca="false">IF(AQ101="1",BH101,0)</f>
        <v>0</v>
      </c>
      <c r="AC101" s="82" t="n">
        <f aca="false">IF(AQ101="1",BI101,0)</f>
        <v>0</v>
      </c>
      <c r="AD101" s="82" t="n">
        <f aca="false">IF(AQ101="7",BH101,0)</f>
        <v>0</v>
      </c>
      <c r="AE101" s="82" t="n">
        <f aca="false">IF(AQ101="7",BI101,0)</f>
        <v>0</v>
      </c>
      <c r="AF101" s="82" t="n">
        <f aca="false">IF(AQ101="2",BH101,0)</f>
        <v>0</v>
      </c>
      <c r="AG101" s="82" t="n">
        <f aca="false">IF(AQ101="2",BI101,0)</f>
        <v>0</v>
      </c>
      <c r="AH101" s="82" t="n">
        <f aca="false">IF(AQ101="0",BJ101,0)</f>
        <v>0</v>
      </c>
      <c r="AI101" s="64" t="s">
        <v>99</v>
      </c>
      <c r="AJ101" s="82" t="n">
        <f aca="false">IF(AN101=0,L101,0)</f>
        <v>0</v>
      </c>
      <c r="AK101" s="82" t="n">
        <f aca="false">IF(AN101=15,L101,0)</f>
        <v>0</v>
      </c>
      <c r="AL101" s="82" t="n">
        <f aca="false">IF(AN101=21,L101,0)</f>
        <v>0</v>
      </c>
      <c r="AM101" s="51"/>
      <c r="AN101" s="82" t="n">
        <v>21</v>
      </c>
      <c r="AO101" s="82" t="n">
        <f aca="false">I101*0.53455737704918</f>
        <v>0</v>
      </c>
      <c r="AP101" s="82" t="n">
        <f aca="false">I101*(1-0.53455737704918)</f>
        <v>0</v>
      </c>
      <c r="AQ101" s="83" t="s">
        <v>132</v>
      </c>
      <c r="AR101" s="51"/>
      <c r="AS101" s="51"/>
      <c r="AT101" s="51"/>
      <c r="AU101" s="51"/>
      <c r="AV101" s="82" t="n">
        <f aca="false">AW101+AX101</f>
        <v>0</v>
      </c>
      <c r="AW101" s="82" t="n">
        <f aca="false">H101*AO101</f>
        <v>0</v>
      </c>
      <c r="AX101" s="82" t="n">
        <f aca="false">H101*AP101</f>
        <v>0</v>
      </c>
      <c r="AY101" s="83" t="s">
        <v>140</v>
      </c>
      <c r="AZ101" s="83" t="s">
        <v>141</v>
      </c>
      <c r="BA101" s="64" t="s">
        <v>107</v>
      </c>
      <c r="BB101" s="51"/>
      <c r="BC101" s="82" t="n">
        <f aca="false">AW101+AX101</f>
        <v>0</v>
      </c>
      <c r="BD101" s="82" t="n">
        <f aca="false">I101/(100-BE101)*100</f>
        <v>0</v>
      </c>
      <c r="BE101" s="82" t="n">
        <v>0</v>
      </c>
      <c r="BF101" s="82" t="n">
        <f aca="false">101</f>
        <v>101</v>
      </c>
      <c r="BG101" s="51"/>
      <c r="BH101" s="82" t="n">
        <f aca="false">H101*AO101</f>
        <v>0</v>
      </c>
      <c r="BI101" s="82" t="n">
        <f aca="false">H101*AP101</f>
        <v>0</v>
      </c>
      <c r="BJ101" s="82" t="n">
        <f aca="false">H101*I101</f>
        <v>0</v>
      </c>
      <c r="BK101" s="82"/>
      <c r="BL101" s="82" t="n">
        <v>722</v>
      </c>
    </row>
    <row r="102" customFormat="false" ht="15" hidden="false" customHeight="true" outlineLevel="0" collapsed="false">
      <c r="A102" s="78" t="s">
        <v>343</v>
      </c>
      <c r="B102" s="14" t="s">
        <v>344</v>
      </c>
      <c r="C102" s="14" t="s">
        <v>345</v>
      </c>
      <c r="D102" s="14"/>
      <c r="E102" s="14"/>
      <c r="F102" s="14"/>
      <c r="G102" s="14" t="s">
        <v>124</v>
      </c>
      <c r="H102" s="79" t="n">
        <v>210.6</v>
      </c>
      <c r="I102" s="80" t="n">
        <v>0</v>
      </c>
      <c r="J102" s="79" t="n">
        <f aca="false">H102*AO102</f>
        <v>0</v>
      </c>
      <c r="K102" s="79" t="n">
        <f aca="false">H102*AP102</f>
        <v>0</v>
      </c>
      <c r="L102" s="79" t="n">
        <f aca="false">H102*I102</f>
        <v>0</v>
      </c>
      <c r="M102" s="81" t="s">
        <v>104</v>
      </c>
      <c r="N102" s="53"/>
      <c r="O102" s="53"/>
      <c r="P102" s="53"/>
      <c r="Q102" s="53"/>
      <c r="R102" s="53"/>
      <c r="S102" s="53"/>
      <c r="T102" s="53"/>
      <c r="U102" s="53"/>
      <c r="V102" s="53"/>
      <c r="W102" s="53"/>
      <c r="X102" s="53"/>
      <c r="Y102" s="51"/>
      <c r="Z102" s="82" t="n">
        <f aca="false">IF(AQ102="5",BJ102,0)</f>
        <v>0</v>
      </c>
      <c r="AA102" s="51"/>
      <c r="AB102" s="82" t="n">
        <f aca="false">IF(AQ102="1",BH102,0)</f>
        <v>0</v>
      </c>
      <c r="AC102" s="82" t="n">
        <f aca="false">IF(AQ102="1",BI102,0)</f>
        <v>0</v>
      </c>
      <c r="AD102" s="82" t="n">
        <f aca="false">IF(AQ102="7",BH102,0)</f>
        <v>0</v>
      </c>
      <c r="AE102" s="82" t="n">
        <f aca="false">IF(AQ102="7",BI102,0)</f>
        <v>0</v>
      </c>
      <c r="AF102" s="82" t="n">
        <f aca="false">IF(AQ102="2",BH102,0)</f>
        <v>0</v>
      </c>
      <c r="AG102" s="82" t="n">
        <f aca="false">IF(AQ102="2",BI102,0)</f>
        <v>0</v>
      </c>
      <c r="AH102" s="82" t="n">
        <f aca="false">IF(AQ102="0",BJ102,0)</f>
        <v>0</v>
      </c>
      <c r="AI102" s="64" t="s">
        <v>99</v>
      </c>
      <c r="AJ102" s="82" t="n">
        <f aca="false">IF(AN102=0,L102,0)</f>
        <v>0</v>
      </c>
      <c r="AK102" s="82" t="n">
        <f aca="false">IF(AN102=15,L102,0)</f>
        <v>0</v>
      </c>
      <c r="AL102" s="82" t="n">
        <f aca="false">IF(AN102=21,L102,0)</f>
        <v>0</v>
      </c>
      <c r="AM102" s="51"/>
      <c r="AN102" s="82" t="n">
        <v>21</v>
      </c>
      <c r="AO102" s="82" t="n">
        <f aca="false">I102*0.436943231441048</f>
        <v>0</v>
      </c>
      <c r="AP102" s="82" t="n">
        <f aca="false">I102*(1-0.436943231441048)</f>
        <v>0</v>
      </c>
      <c r="AQ102" s="83" t="s">
        <v>132</v>
      </c>
      <c r="AR102" s="51"/>
      <c r="AS102" s="51"/>
      <c r="AT102" s="51"/>
      <c r="AU102" s="51"/>
      <c r="AV102" s="82" t="n">
        <f aca="false">AW102+AX102</f>
        <v>0</v>
      </c>
      <c r="AW102" s="82" t="n">
        <f aca="false">H102*AO102</f>
        <v>0</v>
      </c>
      <c r="AX102" s="82" t="n">
        <f aca="false">H102*AP102</f>
        <v>0</v>
      </c>
      <c r="AY102" s="83" t="s">
        <v>140</v>
      </c>
      <c r="AZ102" s="83" t="s">
        <v>141</v>
      </c>
      <c r="BA102" s="64" t="s">
        <v>107</v>
      </c>
      <c r="BB102" s="51"/>
      <c r="BC102" s="82" t="n">
        <f aca="false">AW102+AX102</f>
        <v>0</v>
      </c>
      <c r="BD102" s="82" t="n">
        <f aca="false">I102/(100-BE102)*100</f>
        <v>0</v>
      </c>
      <c r="BE102" s="82" t="n">
        <v>0</v>
      </c>
      <c r="BF102" s="82" t="n">
        <f aca="false">102</f>
        <v>102</v>
      </c>
      <c r="BG102" s="51"/>
      <c r="BH102" s="82" t="n">
        <f aca="false">H102*AO102</f>
        <v>0</v>
      </c>
      <c r="BI102" s="82" t="n">
        <f aca="false">H102*AP102</f>
        <v>0</v>
      </c>
      <c r="BJ102" s="82" t="n">
        <f aca="false">H102*I102</f>
        <v>0</v>
      </c>
      <c r="BK102" s="82"/>
      <c r="BL102" s="82" t="n">
        <v>722</v>
      </c>
    </row>
    <row r="103" customFormat="false" ht="15" hidden="false" customHeight="true" outlineLevel="0" collapsed="false">
      <c r="A103" s="78" t="s">
        <v>346</v>
      </c>
      <c r="B103" s="14" t="s">
        <v>347</v>
      </c>
      <c r="C103" s="14" t="s">
        <v>345</v>
      </c>
      <c r="D103" s="14"/>
      <c r="E103" s="14"/>
      <c r="F103" s="14"/>
      <c r="G103" s="14" t="s">
        <v>124</v>
      </c>
      <c r="H103" s="79" t="n">
        <v>104</v>
      </c>
      <c r="I103" s="80" t="n">
        <v>0</v>
      </c>
      <c r="J103" s="79" t="n">
        <f aca="false">H103*AO103</f>
        <v>0</v>
      </c>
      <c r="K103" s="79" t="n">
        <f aca="false">H103*AP103</f>
        <v>0</v>
      </c>
      <c r="L103" s="79" t="n">
        <f aca="false">H103*I103</f>
        <v>0</v>
      </c>
      <c r="M103" s="81" t="s">
        <v>104</v>
      </c>
      <c r="N103" s="53"/>
      <c r="O103" s="53"/>
      <c r="P103" s="53"/>
      <c r="Q103" s="53"/>
      <c r="R103" s="53"/>
      <c r="S103" s="53"/>
      <c r="T103" s="53"/>
      <c r="U103" s="53"/>
      <c r="V103" s="53"/>
      <c r="W103" s="53"/>
      <c r="X103" s="53"/>
      <c r="Y103" s="51"/>
      <c r="Z103" s="82" t="n">
        <f aca="false">IF(AQ103="5",BJ103,0)</f>
        <v>0</v>
      </c>
      <c r="AA103" s="51"/>
      <c r="AB103" s="82" t="n">
        <f aca="false">IF(AQ103="1",BH103,0)</f>
        <v>0</v>
      </c>
      <c r="AC103" s="82" t="n">
        <f aca="false">IF(AQ103="1",BI103,0)</f>
        <v>0</v>
      </c>
      <c r="AD103" s="82" t="n">
        <f aca="false">IF(AQ103="7",BH103,0)</f>
        <v>0</v>
      </c>
      <c r="AE103" s="82" t="n">
        <f aca="false">IF(AQ103="7",BI103,0)</f>
        <v>0</v>
      </c>
      <c r="AF103" s="82" t="n">
        <f aca="false">IF(AQ103="2",BH103,0)</f>
        <v>0</v>
      </c>
      <c r="AG103" s="82" t="n">
        <f aca="false">IF(AQ103="2",BI103,0)</f>
        <v>0</v>
      </c>
      <c r="AH103" s="82" t="n">
        <f aca="false">IF(AQ103="0",BJ103,0)</f>
        <v>0</v>
      </c>
      <c r="AI103" s="64" t="s">
        <v>99</v>
      </c>
      <c r="AJ103" s="82" t="n">
        <f aca="false">IF(AN103=0,L103,0)</f>
        <v>0</v>
      </c>
      <c r="AK103" s="82" t="n">
        <f aca="false">IF(AN103=15,L103,0)</f>
        <v>0</v>
      </c>
      <c r="AL103" s="82" t="n">
        <f aca="false">IF(AN103=21,L103,0)</f>
        <v>0</v>
      </c>
      <c r="AM103" s="51"/>
      <c r="AN103" s="82" t="n">
        <v>21</v>
      </c>
      <c r="AO103" s="82" t="n">
        <f aca="false">I103*0.408532110091743</f>
        <v>0</v>
      </c>
      <c r="AP103" s="82" t="n">
        <f aca="false">I103*(1-0.408532110091743)</f>
        <v>0</v>
      </c>
      <c r="AQ103" s="83" t="s">
        <v>132</v>
      </c>
      <c r="AR103" s="51"/>
      <c r="AS103" s="51"/>
      <c r="AT103" s="51"/>
      <c r="AU103" s="51"/>
      <c r="AV103" s="82" t="n">
        <f aca="false">AW103+AX103</f>
        <v>0</v>
      </c>
      <c r="AW103" s="82" t="n">
        <f aca="false">H103*AO103</f>
        <v>0</v>
      </c>
      <c r="AX103" s="82" t="n">
        <f aca="false">H103*AP103</f>
        <v>0</v>
      </c>
      <c r="AY103" s="83" t="s">
        <v>140</v>
      </c>
      <c r="AZ103" s="83" t="s">
        <v>141</v>
      </c>
      <c r="BA103" s="64" t="s">
        <v>107</v>
      </c>
      <c r="BB103" s="51"/>
      <c r="BC103" s="82" t="n">
        <f aca="false">AW103+AX103</f>
        <v>0</v>
      </c>
      <c r="BD103" s="82" t="n">
        <f aca="false">I103/(100-BE103)*100</f>
        <v>0</v>
      </c>
      <c r="BE103" s="82" t="n">
        <v>0</v>
      </c>
      <c r="BF103" s="82" t="n">
        <f aca="false">103</f>
        <v>103</v>
      </c>
      <c r="BG103" s="51"/>
      <c r="BH103" s="82" t="n">
        <f aca="false">H103*AO103</f>
        <v>0</v>
      </c>
      <c r="BI103" s="82" t="n">
        <f aca="false">H103*AP103</f>
        <v>0</v>
      </c>
      <c r="BJ103" s="82" t="n">
        <f aca="false">H103*I103</f>
        <v>0</v>
      </c>
      <c r="BK103" s="82"/>
      <c r="BL103" s="82" t="n">
        <v>722</v>
      </c>
    </row>
    <row r="104" customFormat="false" ht="15" hidden="false" customHeight="true" outlineLevel="0" collapsed="false">
      <c r="A104" s="78" t="s">
        <v>348</v>
      </c>
      <c r="B104" s="14" t="s">
        <v>349</v>
      </c>
      <c r="C104" s="14" t="s">
        <v>350</v>
      </c>
      <c r="D104" s="14"/>
      <c r="E104" s="14"/>
      <c r="F104" s="14"/>
      <c r="G104" s="14" t="s">
        <v>111</v>
      </c>
      <c r="H104" s="79" t="n">
        <v>141</v>
      </c>
      <c r="I104" s="80" t="n">
        <v>0</v>
      </c>
      <c r="J104" s="79" t="n">
        <f aca="false">H104*AO104</f>
        <v>0</v>
      </c>
      <c r="K104" s="79" t="n">
        <f aca="false">H104*AP104</f>
        <v>0</v>
      </c>
      <c r="L104" s="79" t="n">
        <f aca="false">H104*I104</f>
        <v>0</v>
      </c>
      <c r="M104" s="81" t="s">
        <v>104</v>
      </c>
      <c r="N104" s="53"/>
      <c r="O104" s="53"/>
      <c r="P104" s="53"/>
      <c r="Q104" s="53"/>
      <c r="R104" s="53"/>
      <c r="S104" s="53"/>
      <c r="T104" s="53"/>
      <c r="U104" s="53"/>
      <c r="V104" s="53"/>
      <c r="W104" s="53"/>
      <c r="X104" s="53"/>
      <c r="Y104" s="51"/>
      <c r="Z104" s="82" t="n">
        <f aca="false">IF(AQ104="5",BJ104,0)</f>
        <v>0</v>
      </c>
      <c r="AA104" s="51"/>
      <c r="AB104" s="82" t="n">
        <f aca="false">IF(AQ104="1",BH104,0)</f>
        <v>0</v>
      </c>
      <c r="AC104" s="82" t="n">
        <f aca="false">IF(AQ104="1",BI104,0)</f>
        <v>0</v>
      </c>
      <c r="AD104" s="82" t="n">
        <f aca="false">IF(AQ104="7",BH104,0)</f>
        <v>0</v>
      </c>
      <c r="AE104" s="82" t="n">
        <f aca="false">IF(AQ104="7",BI104,0)</f>
        <v>0</v>
      </c>
      <c r="AF104" s="82" t="n">
        <f aca="false">IF(AQ104="2",BH104,0)</f>
        <v>0</v>
      </c>
      <c r="AG104" s="82" t="n">
        <f aca="false">IF(AQ104="2",BI104,0)</f>
        <v>0</v>
      </c>
      <c r="AH104" s="82" t="n">
        <f aca="false">IF(AQ104="0",BJ104,0)</f>
        <v>0</v>
      </c>
      <c r="AI104" s="64" t="s">
        <v>99</v>
      </c>
      <c r="AJ104" s="82" t="n">
        <f aca="false">IF(AN104=0,L104,0)</f>
        <v>0</v>
      </c>
      <c r="AK104" s="82" t="n">
        <f aca="false">IF(AN104=15,L104,0)</f>
        <v>0</v>
      </c>
      <c r="AL104" s="82" t="n">
        <f aca="false">IF(AN104=21,L104,0)</f>
        <v>0</v>
      </c>
      <c r="AM104" s="51"/>
      <c r="AN104" s="82" t="n">
        <v>21</v>
      </c>
      <c r="AO104" s="82" t="n">
        <f aca="false">I104*0</f>
        <v>0</v>
      </c>
      <c r="AP104" s="82" t="n">
        <f aca="false">I104*(1-0)</f>
        <v>0</v>
      </c>
      <c r="AQ104" s="83" t="s">
        <v>132</v>
      </c>
      <c r="AR104" s="51"/>
      <c r="AS104" s="51"/>
      <c r="AT104" s="51"/>
      <c r="AU104" s="51"/>
      <c r="AV104" s="82" t="n">
        <f aca="false">AW104+AX104</f>
        <v>0</v>
      </c>
      <c r="AW104" s="82" t="n">
        <f aca="false">H104*AO104</f>
        <v>0</v>
      </c>
      <c r="AX104" s="82" t="n">
        <f aca="false">H104*AP104</f>
        <v>0</v>
      </c>
      <c r="AY104" s="83" t="s">
        <v>140</v>
      </c>
      <c r="AZ104" s="83" t="s">
        <v>141</v>
      </c>
      <c r="BA104" s="64" t="s">
        <v>107</v>
      </c>
      <c r="BB104" s="51"/>
      <c r="BC104" s="82" t="n">
        <f aca="false">AW104+AX104</f>
        <v>0</v>
      </c>
      <c r="BD104" s="82" t="n">
        <f aca="false">I104/(100-BE104)*100</f>
        <v>0</v>
      </c>
      <c r="BE104" s="82" t="n">
        <v>0</v>
      </c>
      <c r="BF104" s="82" t="n">
        <f aca="false">104</f>
        <v>104</v>
      </c>
      <c r="BG104" s="51"/>
      <c r="BH104" s="82" t="n">
        <f aca="false">H104*AO104</f>
        <v>0</v>
      </c>
      <c r="BI104" s="82" t="n">
        <f aca="false">H104*AP104</f>
        <v>0</v>
      </c>
      <c r="BJ104" s="82" t="n">
        <f aca="false">H104*I104</f>
        <v>0</v>
      </c>
      <c r="BK104" s="82"/>
      <c r="BL104" s="82" t="n">
        <v>722</v>
      </c>
    </row>
    <row r="105" customFormat="false" ht="15" hidden="false" customHeight="true" outlineLevel="0" collapsed="false">
      <c r="A105" s="78" t="s">
        <v>351</v>
      </c>
      <c r="B105" s="14" t="s">
        <v>352</v>
      </c>
      <c r="C105" s="14" t="s">
        <v>353</v>
      </c>
      <c r="D105" s="14"/>
      <c r="E105" s="14"/>
      <c r="F105" s="14"/>
      <c r="G105" s="14" t="s">
        <v>111</v>
      </c>
      <c r="H105" s="79" t="n">
        <v>724</v>
      </c>
      <c r="I105" s="80" t="n">
        <v>0</v>
      </c>
      <c r="J105" s="79" t="n">
        <f aca="false">H105*AO105</f>
        <v>0</v>
      </c>
      <c r="K105" s="79" t="n">
        <f aca="false">H105*AP105</f>
        <v>0</v>
      </c>
      <c r="L105" s="79" t="n">
        <f aca="false">H105*I105</f>
        <v>0</v>
      </c>
      <c r="M105" s="81" t="s">
        <v>104</v>
      </c>
      <c r="N105" s="53"/>
      <c r="O105" s="53"/>
      <c r="P105" s="53"/>
      <c r="Q105" s="53"/>
      <c r="R105" s="53"/>
      <c r="S105" s="53"/>
      <c r="T105" s="53"/>
      <c r="U105" s="53"/>
      <c r="V105" s="53"/>
      <c r="W105" s="53"/>
      <c r="X105" s="53"/>
      <c r="Y105" s="51"/>
      <c r="Z105" s="82" t="n">
        <f aca="false">IF(AQ105="5",BJ105,0)</f>
        <v>0</v>
      </c>
      <c r="AA105" s="51"/>
      <c r="AB105" s="82" t="n">
        <f aca="false">IF(AQ105="1",BH105,0)</f>
        <v>0</v>
      </c>
      <c r="AC105" s="82" t="n">
        <f aca="false">IF(AQ105="1",BI105,0)</f>
        <v>0</v>
      </c>
      <c r="AD105" s="82" t="n">
        <f aca="false">IF(AQ105="7",BH105,0)</f>
        <v>0</v>
      </c>
      <c r="AE105" s="82" t="n">
        <f aca="false">IF(AQ105="7",BI105,0)</f>
        <v>0</v>
      </c>
      <c r="AF105" s="82" t="n">
        <f aca="false">IF(AQ105="2",BH105,0)</f>
        <v>0</v>
      </c>
      <c r="AG105" s="82" t="n">
        <f aca="false">IF(AQ105="2",BI105,0)</f>
        <v>0</v>
      </c>
      <c r="AH105" s="82" t="n">
        <f aca="false">IF(AQ105="0",BJ105,0)</f>
        <v>0</v>
      </c>
      <c r="AI105" s="64" t="s">
        <v>99</v>
      </c>
      <c r="AJ105" s="82" t="n">
        <f aca="false">IF(AN105=0,L105,0)</f>
        <v>0</v>
      </c>
      <c r="AK105" s="82" t="n">
        <f aca="false">IF(AN105=15,L105,0)</f>
        <v>0</v>
      </c>
      <c r="AL105" s="82" t="n">
        <f aca="false">IF(AN105=21,L105,0)</f>
        <v>0</v>
      </c>
      <c r="AM105" s="51"/>
      <c r="AN105" s="82" t="n">
        <v>21</v>
      </c>
      <c r="AO105" s="82" t="n">
        <f aca="false">I105*0</f>
        <v>0</v>
      </c>
      <c r="AP105" s="82" t="n">
        <f aca="false">I105*(1-0)</f>
        <v>0</v>
      </c>
      <c r="AQ105" s="83" t="s">
        <v>132</v>
      </c>
      <c r="AR105" s="51"/>
      <c r="AS105" s="51"/>
      <c r="AT105" s="51"/>
      <c r="AU105" s="51"/>
      <c r="AV105" s="82" t="n">
        <f aca="false">AW105+AX105</f>
        <v>0</v>
      </c>
      <c r="AW105" s="82" t="n">
        <f aca="false">H105*AO105</f>
        <v>0</v>
      </c>
      <c r="AX105" s="82" t="n">
        <f aca="false">H105*AP105</f>
        <v>0</v>
      </c>
      <c r="AY105" s="83" t="s">
        <v>140</v>
      </c>
      <c r="AZ105" s="83" t="s">
        <v>141</v>
      </c>
      <c r="BA105" s="64" t="s">
        <v>107</v>
      </c>
      <c r="BB105" s="51"/>
      <c r="BC105" s="82" t="n">
        <f aca="false">AW105+AX105</f>
        <v>0</v>
      </c>
      <c r="BD105" s="82" t="n">
        <f aca="false">I105/(100-BE105)*100</f>
        <v>0</v>
      </c>
      <c r="BE105" s="82" t="n">
        <v>0</v>
      </c>
      <c r="BF105" s="82" t="n">
        <f aca="false">105</f>
        <v>105</v>
      </c>
      <c r="BG105" s="51"/>
      <c r="BH105" s="82" t="n">
        <f aca="false">H105*AO105</f>
        <v>0</v>
      </c>
      <c r="BI105" s="82" t="n">
        <f aca="false">H105*AP105</f>
        <v>0</v>
      </c>
      <c r="BJ105" s="82" t="n">
        <f aca="false">H105*I105</f>
        <v>0</v>
      </c>
      <c r="BK105" s="82"/>
      <c r="BL105" s="82" t="n">
        <v>722</v>
      </c>
    </row>
    <row r="106" customFormat="false" ht="15" hidden="false" customHeight="true" outlineLevel="0" collapsed="false">
      <c r="A106" s="78" t="s">
        <v>354</v>
      </c>
      <c r="B106" s="14" t="s">
        <v>355</v>
      </c>
      <c r="C106" s="14" t="s">
        <v>356</v>
      </c>
      <c r="D106" s="14"/>
      <c r="E106" s="14"/>
      <c r="F106" s="14"/>
      <c r="G106" s="14" t="s">
        <v>111</v>
      </c>
      <c r="H106" s="79" t="n">
        <v>6</v>
      </c>
      <c r="I106" s="80" t="n">
        <v>0</v>
      </c>
      <c r="J106" s="79" t="n">
        <f aca="false">H106*AO106</f>
        <v>0</v>
      </c>
      <c r="K106" s="79" t="n">
        <f aca="false">H106*AP106</f>
        <v>0</v>
      </c>
      <c r="L106" s="79" t="n">
        <f aca="false">H106*I106</f>
        <v>0</v>
      </c>
      <c r="M106" s="81" t="s">
        <v>104</v>
      </c>
      <c r="N106" s="53"/>
      <c r="O106" s="53"/>
      <c r="P106" s="53"/>
      <c r="Q106" s="53"/>
      <c r="R106" s="53"/>
      <c r="S106" s="53"/>
      <c r="T106" s="53"/>
      <c r="U106" s="53"/>
      <c r="V106" s="53"/>
      <c r="W106" s="53"/>
      <c r="X106" s="53"/>
      <c r="Y106" s="51"/>
      <c r="Z106" s="82" t="n">
        <f aca="false">IF(AQ106="5",BJ106,0)</f>
        <v>0</v>
      </c>
      <c r="AA106" s="51"/>
      <c r="AB106" s="82" t="n">
        <f aca="false">IF(AQ106="1",BH106,0)</f>
        <v>0</v>
      </c>
      <c r="AC106" s="82" t="n">
        <f aca="false">IF(AQ106="1",BI106,0)</f>
        <v>0</v>
      </c>
      <c r="AD106" s="82" t="n">
        <f aca="false">IF(AQ106="7",BH106,0)</f>
        <v>0</v>
      </c>
      <c r="AE106" s="82" t="n">
        <f aca="false">IF(AQ106="7",BI106,0)</f>
        <v>0</v>
      </c>
      <c r="AF106" s="82" t="n">
        <f aca="false">IF(AQ106="2",BH106,0)</f>
        <v>0</v>
      </c>
      <c r="AG106" s="82" t="n">
        <f aca="false">IF(AQ106="2",BI106,0)</f>
        <v>0</v>
      </c>
      <c r="AH106" s="82" t="n">
        <f aca="false">IF(AQ106="0",BJ106,0)</f>
        <v>0</v>
      </c>
      <c r="AI106" s="64" t="s">
        <v>99</v>
      </c>
      <c r="AJ106" s="82" t="n">
        <f aca="false">IF(AN106=0,L106,0)</f>
        <v>0</v>
      </c>
      <c r="AK106" s="82" t="n">
        <f aca="false">IF(AN106=15,L106,0)</f>
        <v>0</v>
      </c>
      <c r="AL106" s="82" t="n">
        <f aca="false">IF(AN106=21,L106,0)</f>
        <v>0</v>
      </c>
      <c r="AM106" s="51"/>
      <c r="AN106" s="82" t="n">
        <v>21</v>
      </c>
      <c r="AO106" s="82" t="n">
        <f aca="false">I106*0.02</f>
        <v>0</v>
      </c>
      <c r="AP106" s="82" t="n">
        <f aca="false">I106*(1-0.02)</f>
        <v>0</v>
      </c>
      <c r="AQ106" s="83" t="s">
        <v>132</v>
      </c>
      <c r="AR106" s="51"/>
      <c r="AS106" s="51"/>
      <c r="AT106" s="51"/>
      <c r="AU106" s="51"/>
      <c r="AV106" s="82" t="n">
        <f aca="false">AW106+AX106</f>
        <v>0</v>
      </c>
      <c r="AW106" s="82" t="n">
        <f aca="false">H106*AO106</f>
        <v>0</v>
      </c>
      <c r="AX106" s="82" t="n">
        <f aca="false">H106*AP106</f>
        <v>0</v>
      </c>
      <c r="AY106" s="83" t="s">
        <v>140</v>
      </c>
      <c r="AZ106" s="83" t="s">
        <v>141</v>
      </c>
      <c r="BA106" s="64" t="s">
        <v>107</v>
      </c>
      <c r="BB106" s="51"/>
      <c r="BC106" s="82" t="n">
        <f aca="false">AW106+AX106</f>
        <v>0</v>
      </c>
      <c r="BD106" s="82" t="n">
        <f aca="false">I106/(100-BE106)*100</f>
        <v>0</v>
      </c>
      <c r="BE106" s="82" t="n">
        <v>0</v>
      </c>
      <c r="BF106" s="82" t="n">
        <f aca="false">106</f>
        <v>106</v>
      </c>
      <c r="BG106" s="51"/>
      <c r="BH106" s="82" t="n">
        <f aca="false">H106*AO106</f>
        <v>0</v>
      </c>
      <c r="BI106" s="82" t="n">
        <f aca="false">H106*AP106</f>
        <v>0</v>
      </c>
      <c r="BJ106" s="82" t="n">
        <f aca="false">H106*I106</f>
        <v>0</v>
      </c>
      <c r="BK106" s="82"/>
      <c r="BL106" s="82" t="n">
        <v>722</v>
      </c>
    </row>
    <row r="107" customFormat="false" ht="15" hidden="false" customHeight="true" outlineLevel="0" collapsed="false">
      <c r="A107" s="78" t="s">
        <v>357</v>
      </c>
      <c r="B107" s="14" t="s">
        <v>326</v>
      </c>
      <c r="C107" s="14" t="s">
        <v>327</v>
      </c>
      <c r="D107" s="14"/>
      <c r="E107" s="14"/>
      <c r="F107" s="14"/>
      <c r="G107" s="14" t="s">
        <v>328</v>
      </c>
      <c r="H107" s="79" t="n">
        <v>6</v>
      </c>
      <c r="I107" s="80" t="n">
        <v>0</v>
      </c>
      <c r="J107" s="79" t="n">
        <f aca="false">H107*AO107</f>
        <v>0</v>
      </c>
      <c r="K107" s="79" t="n">
        <f aca="false">H107*AP107</f>
        <v>0</v>
      </c>
      <c r="L107" s="79" t="n">
        <f aca="false">H107*I107</f>
        <v>0</v>
      </c>
      <c r="M107" s="81" t="s">
        <v>104</v>
      </c>
      <c r="N107" s="53"/>
      <c r="O107" s="53"/>
      <c r="P107" s="53"/>
      <c r="Q107" s="53"/>
      <c r="R107" s="53"/>
      <c r="S107" s="53"/>
      <c r="T107" s="53"/>
      <c r="U107" s="53"/>
      <c r="V107" s="53"/>
      <c r="W107" s="53"/>
      <c r="X107" s="53"/>
      <c r="Y107" s="51"/>
      <c r="Z107" s="82" t="n">
        <f aca="false">IF(AQ107="5",BJ107,0)</f>
        <v>0</v>
      </c>
      <c r="AA107" s="51"/>
      <c r="AB107" s="82" t="n">
        <f aca="false">IF(AQ107="1",BH107,0)</f>
        <v>0</v>
      </c>
      <c r="AC107" s="82" t="n">
        <f aca="false">IF(AQ107="1",BI107,0)</f>
        <v>0</v>
      </c>
      <c r="AD107" s="82" t="n">
        <f aca="false">IF(AQ107="7",BH107,0)</f>
        <v>0</v>
      </c>
      <c r="AE107" s="82" t="n">
        <f aca="false">IF(AQ107="7",BI107,0)</f>
        <v>0</v>
      </c>
      <c r="AF107" s="82" t="n">
        <f aca="false">IF(AQ107="2",BH107,0)</f>
        <v>0</v>
      </c>
      <c r="AG107" s="82" t="n">
        <f aca="false">IF(AQ107="2",BI107,0)</f>
        <v>0</v>
      </c>
      <c r="AH107" s="82" t="n">
        <f aca="false">IF(AQ107="0",BJ107,0)</f>
        <v>0</v>
      </c>
      <c r="AI107" s="64" t="s">
        <v>99</v>
      </c>
      <c r="AJ107" s="82" t="n">
        <f aca="false">IF(AN107=0,L107,0)</f>
        <v>0</v>
      </c>
      <c r="AK107" s="82" t="n">
        <f aca="false">IF(AN107=15,L107,0)</f>
        <v>0</v>
      </c>
      <c r="AL107" s="82" t="n">
        <f aca="false">IF(AN107=21,L107,0)</f>
        <v>0</v>
      </c>
      <c r="AM107" s="51"/>
      <c r="AN107" s="82" t="n">
        <v>21</v>
      </c>
      <c r="AO107" s="82" t="n">
        <f aca="false">I107*0.856406084793294</f>
        <v>0</v>
      </c>
      <c r="AP107" s="82" t="n">
        <f aca="false">I107*(1-0.856406084793294)</f>
        <v>0</v>
      </c>
      <c r="AQ107" s="83" t="s">
        <v>132</v>
      </c>
      <c r="AR107" s="51"/>
      <c r="AS107" s="51"/>
      <c r="AT107" s="51"/>
      <c r="AU107" s="51"/>
      <c r="AV107" s="82" t="n">
        <f aca="false">AW107+AX107</f>
        <v>0</v>
      </c>
      <c r="AW107" s="82" t="n">
        <f aca="false">H107*AO107</f>
        <v>0</v>
      </c>
      <c r="AX107" s="82" t="n">
        <f aca="false">H107*AP107</f>
        <v>0</v>
      </c>
      <c r="AY107" s="83" t="s">
        <v>140</v>
      </c>
      <c r="AZ107" s="83" t="s">
        <v>141</v>
      </c>
      <c r="BA107" s="64" t="s">
        <v>107</v>
      </c>
      <c r="BB107" s="51"/>
      <c r="BC107" s="82" t="n">
        <f aca="false">AW107+AX107</f>
        <v>0</v>
      </c>
      <c r="BD107" s="82" t="n">
        <f aca="false">I107/(100-BE107)*100</f>
        <v>0</v>
      </c>
      <c r="BE107" s="82" t="n">
        <v>0</v>
      </c>
      <c r="BF107" s="82" t="n">
        <f aca="false">107</f>
        <v>107</v>
      </c>
      <c r="BG107" s="51"/>
      <c r="BH107" s="82" t="n">
        <f aca="false">H107*AO107</f>
        <v>0</v>
      </c>
      <c r="BI107" s="82" t="n">
        <f aca="false">H107*AP107</f>
        <v>0</v>
      </c>
      <c r="BJ107" s="82" t="n">
        <f aca="false">H107*I107</f>
        <v>0</v>
      </c>
      <c r="BK107" s="82"/>
      <c r="BL107" s="82" t="n">
        <v>722</v>
      </c>
    </row>
    <row r="108" customFormat="false" ht="15" hidden="false" customHeight="true" outlineLevel="0" collapsed="false">
      <c r="A108" s="78" t="s">
        <v>358</v>
      </c>
      <c r="B108" s="14" t="s">
        <v>359</v>
      </c>
      <c r="C108" s="14" t="s">
        <v>360</v>
      </c>
      <c r="D108" s="14"/>
      <c r="E108" s="14"/>
      <c r="F108" s="14"/>
      <c r="G108" s="14" t="s">
        <v>111</v>
      </c>
      <c r="H108" s="79" t="n">
        <v>6</v>
      </c>
      <c r="I108" s="80" t="n">
        <v>0</v>
      </c>
      <c r="J108" s="79" t="n">
        <f aca="false">H108*AO108</f>
        <v>0</v>
      </c>
      <c r="K108" s="79" t="n">
        <f aca="false">H108*AP108</f>
        <v>0</v>
      </c>
      <c r="L108" s="79" t="n">
        <f aca="false">H108*I108</f>
        <v>0</v>
      </c>
      <c r="M108" s="81" t="s">
        <v>104</v>
      </c>
      <c r="N108" s="53"/>
      <c r="O108" s="53"/>
      <c r="P108" s="53"/>
      <c r="Q108" s="53"/>
      <c r="R108" s="53"/>
      <c r="S108" s="53"/>
      <c r="T108" s="53"/>
      <c r="U108" s="53"/>
      <c r="V108" s="53"/>
      <c r="W108" s="53"/>
      <c r="X108" s="53"/>
      <c r="Y108" s="51"/>
      <c r="Z108" s="82" t="n">
        <f aca="false">IF(AQ108="5",BJ108,0)</f>
        <v>0</v>
      </c>
      <c r="AA108" s="51"/>
      <c r="AB108" s="82" t="n">
        <f aca="false">IF(AQ108="1",BH108,0)</f>
        <v>0</v>
      </c>
      <c r="AC108" s="82" t="n">
        <f aca="false">IF(AQ108="1",BI108,0)</f>
        <v>0</v>
      </c>
      <c r="AD108" s="82" t="n">
        <f aca="false">IF(AQ108="7",BH108,0)</f>
        <v>0</v>
      </c>
      <c r="AE108" s="82" t="n">
        <f aca="false">IF(AQ108="7",BI108,0)</f>
        <v>0</v>
      </c>
      <c r="AF108" s="82" t="n">
        <f aca="false">IF(AQ108="2",BH108,0)</f>
        <v>0</v>
      </c>
      <c r="AG108" s="82" t="n">
        <f aca="false">IF(AQ108="2",BI108,0)</f>
        <v>0</v>
      </c>
      <c r="AH108" s="82" t="n">
        <f aca="false">IF(AQ108="0",BJ108,0)</f>
        <v>0</v>
      </c>
      <c r="AI108" s="64" t="s">
        <v>99</v>
      </c>
      <c r="AJ108" s="82" t="n">
        <f aca="false">IF(AN108=0,L108,0)</f>
        <v>0</v>
      </c>
      <c r="AK108" s="82" t="n">
        <f aca="false">IF(AN108=15,L108,0)</f>
        <v>0</v>
      </c>
      <c r="AL108" s="82" t="n">
        <f aca="false">IF(AN108=21,L108,0)</f>
        <v>0</v>
      </c>
      <c r="AM108" s="51"/>
      <c r="AN108" s="82" t="n">
        <v>21</v>
      </c>
      <c r="AO108" s="82" t="n">
        <f aca="false">I108*0</f>
        <v>0</v>
      </c>
      <c r="AP108" s="82" t="n">
        <f aca="false">I108*(1-0)</f>
        <v>0</v>
      </c>
      <c r="AQ108" s="83" t="s">
        <v>132</v>
      </c>
      <c r="AR108" s="51"/>
      <c r="AS108" s="51"/>
      <c r="AT108" s="51"/>
      <c r="AU108" s="51"/>
      <c r="AV108" s="82" t="n">
        <f aca="false">AW108+AX108</f>
        <v>0</v>
      </c>
      <c r="AW108" s="82" t="n">
        <f aca="false">H108*AO108</f>
        <v>0</v>
      </c>
      <c r="AX108" s="82" t="n">
        <f aca="false">H108*AP108</f>
        <v>0</v>
      </c>
      <c r="AY108" s="83" t="s">
        <v>140</v>
      </c>
      <c r="AZ108" s="83" t="s">
        <v>141</v>
      </c>
      <c r="BA108" s="64" t="s">
        <v>107</v>
      </c>
      <c r="BB108" s="51"/>
      <c r="BC108" s="82" t="n">
        <f aca="false">AW108+AX108</f>
        <v>0</v>
      </c>
      <c r="BD108" s="82" t="n">
        <f aca="false">I108/(100-BE108)*100</f>
        <v>0</v>
      </c>
      <c r="BE108" s="82" t="n">
        <v>0</v>
      </c>
      <c r="BF108" s="82" t="n">
        <f aca="false">108</f>
        <v>108</v>
      </c>
      <c r="BG108" s="51"/>
      <c r="BH108" s="82" t="n">
        <f aca="false">H108*AO108</f>
        <v>0</v>
      </c>
      <c r="BI108" s="82" t="n">
        <f aca="false">H108*AP108</f>
        <v>0</v>
      </c>
      <c r="BJ108" s="82" t="n">
        <f aca="false">H108*I108</f>
        <v>0</v>
      </c>
      <c r="BK108" s="82"/>
      <c r="BL108" s="82" t="n">
        <v>722</v>
      </c>
    </row>
    <row r="109" customFormat="false" ht="15" hidden="false" customHeight="true" outlineLevel="0" collapsed="false">
      <c r="A109" s="78" t="s">
        <v>361</v>
      </c>
      <c r="B109" s="14" t="s">
        <v>362</v>
      </c>
      <c r="C109" s="14" t="s">
        <v>363</v>
      </c>
      <c r="D109" s="14"/>
      <c r="E109" s="14"/>
      <c r="F109" s="14"/>
      <c r="G109" s="14" t="s">
        <v>111</v>
      </c>
      <c r="H109" s="79" t="n">
        <v>6</v>
      </c>
      <c r="I109" s="80" t="n">
        <v>0</v>
      </c>
      <c r="J109" s="79" t="n">
        <f aca="false">H109*AO109</f>
        <v>0</v>
      </c>
      <c r="K109" s="79" t="n">
        <f aca="false">H109*AP109</f>
        <v>0</v>
      </c>
      <c r="L109" s="79" t="n">
        <f aca="false">H109*I109</f>
        <v>0</v>
      </c>
      <c r="M109" s="81" t="s">
        <v>104</v>
      </c>
      <c r="N109" s="53"/>
      <c r="O109" s="53"/>
      <c r="P109" s="53"/>
      <c r="Q109" s="53"/>
      <c r="R109" s="53"/>
      <c r="S109" s="53"/>
      <c r="T109" s="53"/>
      <c r="U109" s="53"/>
      <c r="V109" s="53"/>
      <c r="W109" s="53"/>
      <c r="X109" s="53"/>
      <c r="Y109" s="51"/>
      <c r="Z109" s="82" t="n">
        <f aca="false">IF(AQ109="5",BJ109,0)</f>
        <v>0</v>
      </c>
      <c r="AA109" s="51"/>
      <c r="AB109" s="82" t="n">
        <f aca="false">IF(AQ109="1",BH109,0)</f>
        <v>0</v>
      </c>
      <c r="AC109" s="82" t="n">
        <f aca="false">IF(AQ109="1",BI109,0)</f>
        <v>0</v>
      </c>
      <c r="AD109" s="82" t="n">
        <f aca="false">IF(AQ109="7",BH109,0)</f>
        <v>0</v>
      </c>
      <c r="AE109" s="82" t="n">
        <f aca="false">IF(AQ109="7",BI109,0)</f>
        <v>0</v>
      </c>
      <c r="AF109" s="82" t="n">
        <f aca="false">IF(AQ109="2",BH109,0)</f>
        <v>0</v>
      </c>
      <c r="AG109" s="82" t="n">
        <f aca="false">IF(AQ109="2",BI109,0)</f>
        <v>0</v>
      </c>
      <c r="AH109" s="82" t="n">
        <f aca="false">IF(AQ109="0",BJ109,0)</f>
        <v>0</v>
      </c>
      <c r="AI109" s="64" t="s">
        <v>99</v>
      </c>
      <c r="AJ109" s="82" t="n">
        <f aca="false">IF(AN109=0,L109,0)</f>
        <v>0</v>
      </c>
      <c r="AK109" s="82" t="n">
        <f aca="false">IF(AN109=15,L109,0)</f>
        <v>0</v>
      </c>
      <c r="AL109" s="82" t="n">
        <f aca="false">IF(AN109=21,L109,0)</f>
        <v>0</v>
      </c>
      <c r="AM109" s="51"/>
      <c r="AN109" s="82" t="n">
        <v>21</v>
      </c>
      <c r="AO109" s="82" t="n">
        <f aca="false">I109*0</f>
        <v>0</v>
      </c>
      <c r="AP109" s="82" t="n">
        <f aca="false">I109*(1-0)</f>
        <v>0</v>
      </c>
      <c r="AQ109" s="83" t="s">
        <v>132</v>
      </c>
      <c r="AR109" s="51"/>
      <c r="AS109" s="51"/>
      <c r="AT109" s="51"/>
      <c r="AU109" s="51"/>
      <c r="AV109" s="82" t="n">
        <f aca="false">AW109+AX109</f>
        <v>0</v>
      </c>
      <c r="AW109" s="82" t="n">
        <f aca="false">H109*AO109</f>
        <v>0</v>
      </c>
      <c r="AX109" s="82" t="n">
        <f aca="false">H109*AP109</f>
        <v>0</v>
      </c>
      <c r="AY109" s="83" t="s">
        <v>140</v>
      </c>
      <c r="AZ109" s="83" t="s">
        <v>141</v>
      </c>
      <c r="BA109" s="64" t="s">
        <v>107</v>
      </c>
      <c r="BB109" s="51"/>
      <c r="BC109" s="82" t="n">
        <f aca="false">AW109+AX109</f>
        <v>0</v>
      </c>
      <c r="BD109" s="82" t="n">
        <f aca="false">I109/(100-BE109)*100</f>
        <v>0</v>
      </c>
      <c r="BE109" s="82" t="n">
        <v>0</v>
      </c>
      <c r="BF109" s="82" t="n">
        <f aca="false">109</f>
        <v>109</v>
      </c>
      <c r="BG109" s="51"/>
      <c r="BH109" s="82" t="n">
        <f aca="false">H109*AO109</f>
        <v>0</v>
      </c>
      <c r="BI109" s="82" t="n">
        <f aca="false">H109*AP109</f>
        <v>0</v>
      </c>
      <c r="BJ109" s="82" t="n">
        <f aca="false">H109*I109</f>
        <v>0</v>
      </c>
      <c r="BK109" s="82"/>
      <c r="BL109" s="82" t="n">
        <v>722</v>
      </c>
    </row>
    <row r="110" customFormat="false" ht="15" hidden="false" customHeight="true" outlineLevel="0" collapsed="false">
      <c r="A110" s="78" t="s">
        <v>364</v>
      </c>
      <c r="B110" s="14" t="s">
        <v>365</v>
      </c>
      <c r="C110" s="14" t="s">
        <v>366</v>
      </c>
      <c r="D110" s="14"/>
      <c r="E110" s="14"/>
      <c r="F110" s="14"/>
      <c r="G110" s="14" t="s">
        <v>111</v>
      </c>
      <c r="H110" s="79" t="n">
        <v>6</v>
      </c>
      <c r="I110" s="80" t="n">
        <v>0</v>
      </c>
      <c r="J110" s="79" t="n">
        <f aca="false">H110*AO110</f>
        <v>0</v>
      </c>
      <c r="K110" s="79" t="n">
        <f aca="false">H110*AP110</f>
        <v>0</v>
      </c>
      <c r="L110" s="79" t="n">
        <f aca="false">H110*I110</f>
        <v>0</v>
      </c>
      <c r="M110" s="81" t="s">
        <v>104</v>
      </c>
      <c r="N110" s="53"/>
      <c r="O110" s="53"/>
      <c r="P110" s="53"/>
      <c r="Q110" s="53"/>
      <c r="R110" s="53"/>
      <c r="S110" s="53"/>
      <c r="T110" s="53"/>
      <c r="U110" s="53"/>
      <c r="V110" s="53"/>
      <c r="W110" s="53"/>
      <c r="X110" s="53"/>
      <c r="Y110" s="51"/>
      <c r="Z110" s="82" t="n">
        <f aca="false">IF(AQ110="5",BJ110,0)</f>
        <v>0</v>
      </c>
      <c r="AA110" s="51"/>
      <c r="AB110" s="82" t="n">
        <f aca="false">IF(AQ110="1",BH110,0)</f>
        <v>0</v>
      </c>
      <c r="AC110" s="82" t="n">
        <f aca="false">IF(AQ110="1",BI110,0)</f>
        <v>0</v>
      </c>
      <c r="AD110" s="82" t="n">
        <f aca="false">IF(AQ110="7",BH110,0)</f>
        <v>0</v>
      </c>
      <c r="AE110" s="82" t="n">
        <f aca="false">IF(AQ110="7",BI110,0)</f>
        <v>0</v>
      </c>
      <c r="AF110" s="82" t="n">
        <f aca="false">IF(AQ110="2",BH110,0)</f>
        <v>0</v>
      </c>
      <c r="AG110" s="82" t="n">
        <f aca="false">IF(AQ110="2",BI110,0)</f>
        <v>0</v>
      </c>
      <c r="AH110" s="82" t="n">
        <f aca="false">IF(AQ110="0",BJ110,0)</f>
        <v>0</v>
      </c>
      <c r="AI110" s="64" t="s">
        <v>99</v>
      </c>
      <c r="AJ110" s="82" t="n">
        <f aca="false">IF(AN110=0,L110,0)</f>
        <v>0</v>
      </c>
      <c r="AK110" s="82" t="n">
        <f aca="false">IF(AN110=15,L110,0)</f>
        <v>0</v>
      </c>
      <c r="AL110" s="82" t="n">
        <f aca="false">IF(AN110=21,L110,0)</f>
        <v>0</v>
      </c>
      <c r="AM110" s="51"/>
      <c r="AN110" s="82" t="n">
        <v>21</v>
      </c>
      <c r="AO110" s="82" t="n">
        <f aca="false">I110*0</f>
        <v>0</v>
      </c>
      <c r="AP110" s="82" t="n">
        <f aca="false">I110*(1-0)</f>
        <v>0</v>
      </c>
      <c r="AQ110" s="83" t="s">
        <v>132</v>
      </c>
      <c r="AR110" s="51"/>
      <c r="AS110" s="51"/>
      <c r="AT110" s="51"/>
      <c r="AU110" s="51"/>
      <c r="AV110" s="82" t="n">
        <f aca="false">AW110+AX110</f>
        <v>0</v>
      </c>
      <c r="AW110" s="82" t="n">
        <f aca="false">H110*AO110</f>
        <v>0</v>
      </c>
      <c r="AX110" s="82" t="n">
        <f aca="false">H110*AP110</f>
        <v>0</v>
      </c>
      <c r="AY110" s="83" t="s">
        <v>140</v>
      </c>
      <c r="AZ110" s="83" t="s">
        <v>141</v>
      </c>
      <c r="BA110" s="64" t="s">
        <v>107</v>
      </c>
      <c r="BB110" s="51"/>
      <c r="BC110" s="82" t="n">
        <f aca="false">AW110+AX110</f>
        <v>0</v>
      </c>
      <c r="BD110" s="82" t="n">
        <f aca="false">I110/(100-BE110)*100</f>
        <v>0</v>
      </c>
      <c r="BE110" s="82" t="n">
        <v>0</v>
      </c>
      <c r="BF110" s="82" t="n">
        <f aca="false">110</f>
        <v>110</v>
      </c>
      <c r="BG110" s="51"/>
      <c r="BH110" s="82" t="n">
        <f aca="false">H110*AO110</f>
        <v>0</v>
      </c>
      <c r="BI110" s="82" t="n">
        <f aca="false">H110*AP110</f>
        <v>0</v>
      </c>
      <c r="BJ110" s="82" t="n">
        <f aca="false">H110*I110</f>
        <v>0</v>
      </c>
      <c r="BK110" s="82"/>
      <c r="BL110" s="82" t="n">
        <v>722</v>
      </c>
    </row>
    <row r="111" customFormat="false" ht="15" hidden="false" customHeight="true" outlineLevel="0" collapsed="false">
      <c r="A111" s="78" t="s">
        <v>367</v>
      </c>
      <c r="B111" s="14" t="s">
        <v>368</v>
      </c>
      <c r="C111" s="14" t="s">
        <v>369</v>
      </c>
      <c r="D111" s="14"/>
      <c r="E111" s="14"/>
      <c r="F111" s="14"/>
      <c r="G111" s="14" t="s">
        <v>111</v>
      </c>
      <c r="H111" s="79" t="n">
        <v>6</v>
      </c>
      <c r="I111" s="80" t="n">
        <v>0</v>
      </c>
      <c r="J111" s="79" t="n">
        <f aca="false">H111*AO111</f>
        <v>0</v>
      </c>
      <c r="K111" s="79" t="n">
        <f aca="false">H111*AP111</f>
        <v>0</v>
      </c>
      <c r="L111" s="79" t="n">
        <f aca="false">H111*I111</f>
        <v>0</v>
      </c>
      <c r="M111" s="81" t="s">
        <v>104</v>
      </c>
      <c r="N111" s="53"/>
      <c r="O111" s="53"/>
      <c r="P111" s="53"/>
      <c r="Q111" s="53"/>
      <c r="R111" s="53"/>
      <c r="S111" s="53"/>
      <c r="T111" s="53"/>
      <c r="U111" s="53"/>
      <c r="V111" s="53"/>
      <c r="W111" s="53"/>
      <c r="X111" s="53"/>
      <c r="Y111" s="51"/>
      <c r="Z111" s="82" t="n">
        <f aca="false">IF(AQ111="5",BJ111,0)</f>
        <v>0</v>
      </c>
      <c r="AA111" s="51"/>
      <c r="AB111" s="82" t="n">
        <f aca="false">IF(AQ111="1",BH111,0)</f>
        <v>0</v>
      </c>
      <c r="AC111" s="82" t="n">
        <f aca="false">IF(AQ111="1",BI111,0)</f>
        <v>0</v>
      </c>
      <c r="AD111" s="82" t="n">
        <f aca="false">IF(AQ111="7",BH111,0)</f>
        <v>0</v>
      </c>
      <c r="AE111" s="82" t="n">
        <f aca="false">IF(AQ111="7",BI111,0)</f>
        <v>0</v>
      </c>
      <c r="AF111" s="82" t="n">
        <f aca="false">IF(AQ111="2",BH111,0)</f>
        <v>0</v>
      </c>
      <c r="AG111" s="82" t="n">
        <f aca="false">IF(AQ111="2",BI111,0)</f>
        <v>0</v>
      </c>
      <c r="AH111" s="82" t="n">
        <f aca="false">IF(AQ111="0",BJ111,0)</f>
        <v>0</v>
      </c>
      <c r="AI111" s="64" t="s">
        <v>99</v>
      </c>
      <c r="AJ111" s="82" t="n">
        <f aca="false">IF(AN111=0,L111,0)</f>
        <v>0</v>
      </c>
      <c r="AK111" s="82" t="n">
        <f aca="false">IF(AN111=15,L111,0)</f>
        <v>0</v>
      </c>
      <c r="AL111" s="82" t="n">
        <f aca="false">IF(AN111=21,L111,0)</f>
        <v>0</v>
      </c>
      <c r="AM111" s="51"/>
      <c r="AN111" s="82" t="n">
        <v>21</v>
      </c>
      <c r="AO111" s="82" t="n">
        <f aca="false">I111*0</f>
        <v>0</v>
      </c>
      <c r="AP111" s="82" t="n">
        <f aca="false">I111*(1-0)</f>
        <v>0</v>
      </c>
      <c r="AQ111" s="83" t="s">
        <v>132</v>
      </c>
      <c r="AR111" s="51"/>
      <c r="AS111" s="51"/>
      <c r="AT111" s="51"/>
      <c r="AU111" s="51"/>
      <c r="AV111" s="82" t="n">
        <f aca="false">AW111+AX111</f>
        <v>0</v>
      </c>
      <c r="AW111" s="82" t="n">
        <f aca="false">H111*AO111</f>
        <v>0</v>
      </c>
      <c r="AX111" s="82" t="n">
        <f aca="false">H111*AP111</f>
        <v>0</v>
      </c>
      <c r="AY111" s="83" t="s">
        <v>140</v>
      </c>
      <c r="AZ111" s="83" t="s">
        <v>141</v>
      </c>
      <c r="BA111" s="64" t="s">
        <v>107</v>
      </c>
      <c r="BB111" s="51"/>
      <c r="BC111" s="82" t="n">
        <f aca="false">AW111+AX111</f>
        <v>0</v>
      </c>
      <c r="BD111" s="82" t="n">
        <f aca="false">I111/(100-BE111)*100</f>
        <v>0</v>
      </c>
      <c r="BE111" s="82" t="n">
        <v>0</v>
      </c>
      <c r="BF111" s="82" t="n">
        <f aca="false">111</f>
        <v>111</v>
      </c>
      <c r="BG111" s="51"/>
      <c r="BH111" s="82" t="n">
        <f aca="false">H111*AO111</f>
        <v>0</v>
      </c>
      <c r="BI111" s="82" t="n">
        <f aca="false">H111*AP111</f>
        <v>0</v>
      </c>
      <c r="BJ111" s="82" t="n">
        <f aca="false">H111*I111</f>
        <v>0</v>
      </c>
      <c r="BK111" s="82"/>
      <c r="BL111" s="82" t="n">
        <v>722</v>
      </c>
    </row>
    <row r="112" customFormat="false" ht="15" hidden="false" customHeight="true" outlineLevel="0" collapsed="false">
      <c r="A112" s="78" t="s">
        <v>370</v>
      </c>
      <c r="B112" s="14" t="s">
        <v>371</v>
      </c>
      <c r="C112" s="14" t="s">
        <v>372</v>
      </c>
      <c r="D112" s="14"/>
      <c r="E112" s="14"/>
      <c r="F112" s="14"/>
      <c r="G112" s="14" t="s">
        <v>124</v>
      </c>
      <c r="H112" s="79" t="n">
        <v>1106.2</v>
      </c>
      <c r="I112" s="80" t="n">
        <v>0</v>
      </c>
      <c r="J112" s="79" t="n">
        <f aca="false">H112*AO112</f>
        <v>0</v>
      </c>
      <c r="K112" s="79" t="n">
        <f aca="false">H112*AP112</f>
        <v>0</v>
      </c>
      <c r="L112" s="79" t="n">
        <f aca="false">H112*I112</f>
        <v>0</v>
      </c>
      <c r="M112" s="81" t="s">
        <v>104</v>
      </c>
      <c r="N112" s="53"/>
      <c r="O112" s="53"/>
      <c r="P112" s="53"/>
      <c r="Q112" s="53"/>
      <c r="R112" s="53"/>
      <c r="S112" s="53"/>
      <c r="T112" s="53"/>
      <c r="U112" s="53"/>
      <c r="V112" s="53"/>
      <c r="W112" s="53"/>
      <c r="X112" s="53"/>
      <c r="Y112" s="51"/>
      <c r="Z112" s="82" t="n">
        <f aca="false">IF(AQ112="5",BJ112,0)</f>
        <v>0</v>
      </c>
      <c r="AA112" s="51"/>
      <c r="AB112" s="82" t="n">
        <f aca="false">IF(AQ112="1",BH112,0)</f>
        <v>0</v>
      </c>
      <c r="AC112" s="82" t="n">
        <f aca="false">IF(AQ112="1",BI112,0)</f>
        <v>0</v>
      </c>
      <c r="AD112" s="82" t="n">
        <f aca="false">IF(AQ112="7",BH112,0)</f>
        <v>0</v>
      </c>
      <c r="AE112" s="82" t="n">
        <f aca="false">IF(AQ112="7",BI112,0)</f>
        <v>0</v>
      </c>
      <c r="AF112" s="82" t="n">
        <f aca="false">IF(AQ112="2",BH112,0)</f>
        <v>0</v>
      </c>
      <c r="AG112" s="82" t="n">
        <f aca="false">IF(AQ112="2",BI112,0)</f>
        <v>0</v>
      </c>
      <c r="AH112" s="82" t="n">
        <f aca="false">IF(AQ112="0",BJ112,0)</f>
        <v>0</v>
      </c>
      <c r="AI112" s="64" t="s">
        <v>99</v>
      </c>
      <c r="AJ112" s="82" t="n">
        <f aca="false">IF(AN112=0,L112,0)</f>
        <v>0</v>
      </c>
      <c r="AK112" s="82" t="n">
        <f aca="false">IF(AN112=15,L112,0)</f>
        <v>0</v>
      </c>
      <c r="AL112" s="82" t="n">
        <f aca="false">IF(AN112=21,L112,0)</f>
        <v>0</v>
      </c>
      <c r="AM112" s="51"/>
      <c r="AN112" s="82" t="n">
        <v>21</v>
      </c>
      <c r="AO112" s="82" t="n">
        <f aca="false">I112*0.0523809523809524</f>
        <v>0</v>
      </c>
      <c r="AP112" s="82" t="n">
        <f aca="false">I112*(1-0.0523809523809524)</f>
        <v>0</v>
      </c>
      <c r="AQ112" s="83" t="s">
        <v>132</v>
      </c>
      <c r="AR112" s="51"/>
      <c r="AS112" s="51"/>
      <c r="AT112" s="51"/>
      <c r="AU112" s="51"/>
      <c r="AV112" s="82" t="n">
        <f aca="false">AW112+AX112</f>
        <v>0</v>
      </c>
      <c r="AW112" s="82" t="n">
        <f aca="false">H112*AO112</f>
        <v>0</v>
      </c>
      <c r="AX112" s="82" t="n">
        <f aca="false">H112*AP112</f>
        <v>0</v>
      </c>
      <c r="AY112" s="83" t="s">
        <v>140</v>
      </c>
      <c r="AZ112" s="83" t="s">
        <v>141</v>
      </c>
      <c r="BA112" s="64" t="s">
        <v>107</v>
      </c>
      <c r="BB112" s="51"/>
      <c r="BC112" s="82" t="n">
        <f aca="false">AW112+AX112</f>
        <v>0</v>
      </c>
      <c r="BD112" s="82" t="n">
        <f aca="false">I112/(100-BE112)*100</f>
        <v>0</v>
      </c>
      <c r="BE112" s="82" t="n">
        <v>0</v>
      </c>
      <c r="BF112" s="82" t="n">
        <f aca="false">112</f>
        <v>112</v>
      </c>
      <c r="BG112" s="51"/>
      <c r="BH112" s="82" t="n">
        <f aca="false">H112*AO112</f>
        <v>0</v>
      </c>
      <c r="BI112" s="82" t="n">
        <f aca="false">H112*AP112</f>
        <v>0</v>
      </c>
      <c r="BJ112" s="82" t="n">
        <f aca="false">H112*I112</f>
        <v>0</v>
      </c>
      <c r="BK112" s="82"/>
      <c r="BL112" s="82" t="n">
        <v>722</v>
      </c>
    </row>
    <row r="113" customFormat="false" ht="15" hidden="false" customHeight="true" outlineLevel="0" collapsed="false">
      <c r="A113" s="78" t="s">
        <v>373</v>
      </c>
      <c r="B113" s="14" t="s">
        <v>374</v>
      </c>
      <c r="C113" s="14" t="s">
        <v>375</v>
      </c>
      <c r="D113" s="14"/>
      <c r="E113" s="14"/>
      <c r="F113" s="14"/>
      <c r="G113" s="14" t="s">
        <v>124</v>
      </c>
      <c r="H113" s="79" t="n">
        <v>107.8</v>
      </c>
      <c r="I113" s="80" t="n">
        <v>0</v>
      </c>
      <c r="J113" s="79" t="n">
        <f aca="false">H113*AO113</f>
        <v>0</v>
      </c>
      <c r="K113" s="79" t="n">
        <f aca="false">H113*AP113</f>
        <v>0</v>
      </c>
      <c r="L113" s="79" t="n">
        <f aca="false">H113*I113</f>
        <v>0</v>
      </c>
      <c r="M113" s="81" t="s">
        <v>104</v>
      </c>
      <c r="N113" s="53"/>
      <c r="O113" s="53"/>
      <c r="P113" s="53"/>
      <c r="Q113" s="53"/>
      <c r="R113" s="53"/>
      <c r="S113" s="53"/>
      <c r="T113" s="53"/>
      <c r="U113" s="53"/>
      <c r="V113" s="53"/>
      <c r="W113" s="53"/>
      <c r="X113" s="53"/>
      <c r="Y113" s="51"/>
      <c r="Z113" s="82" t="n">
        <f aca="false">IF(AQ113="5",BJ113,0)</f>
        <v>0</v>
      </c>
      <c r="AA113" s="51"/>
      <c r="AB113" s="82" t="n">
        <f aca="false">IF(AQ113="1",BH113,0)</f>
        <v>0</v>
      </c>
      <c r="AC113" s="82" t="n">
        <f aca="false">IF(AQ113="1",BI113,0)</f>
        <v>0</v>
      </c>
      <c r="AD113" s="82" t="n">
        <f aca="false">IF(AQ113="7",BH113,0)</f>
        <v>0</v>
      </c>
      <c r="AE113" s="82" t="n">
        <f aca="false">IF(AQ113="7",BI113,0)</f>
        <v>0</v>
      </c>
      <c r="AF113" s="82" t="n">
        <f aca="false">IF(AQ113="2",BH113,0)</f>
        <v>0</v>
      </c>
      <c r="AG113" s="82" t="n">
        <f aca="false">IF(AQ113="2",BI113,0)</f>
        <v>0</v>
      </c>
      <c r="AH113" s="82" t="n">
        <f aca="false">IF(AQ113="0",BJ113,0)</f>
        <v>0</v>
      </c>
      <c r="AI113" s="64" t="s">
        <v>99</v>
      </c>
      <c r="AJ113" s="82" t="n">
        <f aca="false">IF(AN113=0,L113,0)</f>
        <v>0</v>
      </c>
      <c r="AK113" s="82" t="n">
        <f aca="false">IF(AN113=15,L113,0)</f>
        <v>0</v>
      </c>
      <c r="AL113" s="82" t="n">
        <f aca="false">IF(AN113=21,L113,0)</f>
        <v>0</v>
      </c>
      <c r="AM113" s="51"/>
      <c r="AN113" s="82" t="n">
        <v>21</v>
      </c>
      <c r="AO113" s="82" t="n">
        <f aca="false">I113*0.0188760038522457</f>
        <v>0</v>
      </c>
      <c r="AP113" s="82" t="n">
        <f aca="false">I113*(1-0.0188760038522457)</f>
        <v>0</v>
      </c>
      <c r="AQ113" s="83" t="s">
        <v>132</v>
      </c>
      <c r="AR113" s="51"/>
      <c r="AS113" s="51"/>
      <c r="AT113" s="51"/>
      <c r="AU113" s="51"/>
      <c r="AV113" s="82" t="n">
        <f aca="false">AW113+AX113</f>
        <v>0</v>
      </c>
      <c r="AW113" s="82" t="n">
        <f aca="false">H113*AO113</f>
        <v>0</v>
      </c>
      <c r="AX113" s="82" t="n">
        <f aca="false">H113*AP113</f>
        <v>0</v>
      </c>
      <c r="AY113" s="83" t="s">
        <v>140</v>
      </c>
      <c r="AZ113" s="83" t="s">
        <v>141</v>
      </c>
      <c r="BA113" s="64" t="s">
        <v>107</v>
      </c>
      <c r="BB113" s="51"/>
      <c r="BC113" s="82" t="n">
        <f aca="false">AW113+AX113</f>
        <v>0</v>
      </c>
      <c r="BD113" s="82" t="n">
        <f aca="false">I113/(100-BE113)*100</f>
        <v>0</v>
      </c>
      <c r="BE113" s="82" t="n">
        <v>0</v>
      </c>
      <c r="BF113" s="82" t="n">
        <f aca="false">113</f>
        <v>113</v>
      </c>
      <c r="BG113" s="51"/>
      <c r="BH113" s="82" t="n">
        <f aca="false">H113*AO113</f>
        <v>0</v>
      </c>
      <c r="BI113" s="82" t="n">
        <f aca="false">H113*AP113</f>
        <v>0</v>
      </c>
      <c r="BJ113" s="82" t="n">
        <f aca="false">H113*I113</f>
        <v>0</v>
      </c>
      <c r="BK113" s="82"/>
      <c r="BL113" s="82" t="n">
        <v>722</v>
      </c>
    </row>
    <row r="114" customFormat="false" ht="15" hidden="false" customHeight="true" outlineLevel="0" collapsed="false">
      <c r="A114" s="73"/>
      <c r="B114" s="74" t="s">
        <v>376</v>
      </c>
      <c r="C114" s="74" t="s">
        <v>377</v>
      </c>
      <c r="D114" s="74"/>
      <c r="E114" s="74"/>
      <c r="F114" s="74"/>
      <c r="G114" s="75" t="s">
        <v>65</v>
      </c>
      <c r="H114" s="75" t="s">
        <v>65</v>
      </c>
      <c r="I114" s="75" t="s">
        <v>65</v>
      </c>
      <c r="J114" s="76" t="n">
        <f aca="false">SUM(J115:J125)</f>
        <v>0</v>
      </c>
      <c r="K114" s="76" t="n">
        <f aca="false">SUM(K115:K125)</f>
        <v>0</v>
      </c>
      <c r="L114" s="76" t="n">
        <f aca="false">SUM(L115:L125)</f>
        <v>0</v>
      </c>
      <c r="M114" s="77"/>
      <c r="N114" s="53"/>
      <c r="O114" s="53"/>
      <c r="P114" s="53"/>
      <c r="Q114" s="53"/>
      <c r="R114" s="53"/>
      <c r="S114" s="53"/>
      <c r="T114" s="53"/>
      <c r="U114" s="53"/>
      <c r="V114" s="53"/>
      <c r="W114" s="53"/>
      <c r="X114" s="53"/>
      <c r="Y114" s="51"/>
      <c r="Z114" s="51"/>
      <c r="AA114" s="51"/>
      <c r="AB114" s="51"/>
      <c r="AC114" s="51"/>
      <c r="AD114" s="51"/>
      <c r="AE114" s="51"/>
      <c r="AF114" s="51"/>
      <c r="AG114" s="51"/>
      <c r="AH114" s="51"/>
      <c r="AI114" s="64" t="s">
        <v>99</v>
      </c>
      <c r="AJ114" s="51"/>
      <c r="AK114" s="51"/>
      <c r="AL114" s="51"/>
      <c r="AM114" s="51"/>
      <c r="AN114" s="51"/>
      <c r="AO114" s="51"/>
      <c r="AP114" s="51"/>
      <c r="AQ114" s="51"/>
      <c r="AR114" s="51"/>
      <c r="AS114" s="54" t="n">
        <f aca="false">SUM(AJ115:AJ125)</f>
        <v>0</v>
      </c>
      <c r="AT114" s="54" t="n">
        <f aca="false">SUM(AK115:AK125)</f>
        <v>0</v>
      </c>
      <c r="AU114" s="54" t="n">
        <f aca="false">SUM(AL115:AL125)</f>
        <v>0</v>
      </c>
      <c r="AV114" s="51"/>
      <c r="AW114" s="51"/>
      <c r="AX114" s="51"/>
      <c r="AY114" s="51"/>
      <c r="AZ114" s="51"/>
      <c r="BA114" s="51"/>
      <c r="BB114" s="51"/>
      <c r="BC114" s="51"/>
      <c r="BD114" s="51"/>
      <c r="BE114" s="51"/>
      <c r="BF114" s="51"/>
      <c r="BG114" s="51"/>
      <c r="BH114" s="51"/>
      <c r="BI114" s="51"/>
      <c r="BJ114" s="51"/>
      <c r="BK114" s="51"/>
      <c r="BL114" s="51"/>
    </row>
    <row r="115" customFormat="false" ht="15" hidden="false" customHeight="true" outlineLevel="0" collapsed="false">
      <c r="A115" s="78" t="s">
        <v>378</v>
      </c>
      <c r="B115" s="14" t="s">
        <v>379</v>
      </c>
      <c r="C115" s="14" t="s">
        <v>380</v>
      </c>
      <c r="D115" s="14"/>
      <c r="E115" s="14"/>
      <c r="F115" s="14"/>
      <c r="G115" s="14" t="s">
        <v>111</v>
      </c>
      <c r="H115" s="79" t="n">
        <v>51</v>
      </c>
      <c r="I115" s="80" t="n">
        <v>0</v>
      </c>
      <c r="J115" s="79" t="n">
        <f aca="false">H115*AO115</f>
        <v>0</v>
      </c>
      <c r="K115" s="79" t="n">
        <f aca="false">H115*AP115</f>
        <v>0</v>
      </c>
      <c r="L115" s="79" t="n">
        <f aca="false">H115*I115</f>
        <v>0</v>
      </c>
      <c r="M115" s="81" t="s">
        <v>104</v>
      </c>
      <c r="N115" s="53"/>
      <c r="O115" s="53"/>
      <c r="P115" s="53"/>
      <c r="Q115" s="53"/>
      <c r="R115" s="53"/>
      <c r="S115" s="53"/>
      <c r="T115" s="53"/>
      <c r="U115" s="53"/>
      <c r="V115" s="53"/>
      <c r="W115" s="53"/>
      <c r="X115" s="53"/>
      <c r="Y115" s="51"/>
      <c r="Z115" s="82" t="n">
        <f aca="false">IF(AQ115="5",BJ115,0)</f>
        <v>0</v>
      </c>
      <c r="AA115" s="51"/>
      <c r="AB115" s="82" t="n">
        <f aca="false">IF(AQ115="1",BH115,0)</f>
        <v>0</v>
      </c>
      <c r="AC115" s="82" t="n">
        <f aca="false">IF(AQ115="1",BI115,0)</f>
        <v>0</v>
      </c>
      <c r="AD115" s="82" t="n">
        <f aca="false">IF(AQ115="7",BH115,0)</f>
        <v>0</v>
      </c>
      <c r="AE115" s="82" t="n">
        <f aca="false">IF(AQ115="7",BI115,0)</f>
        <v>0</v>
      </c>
      <c r="AF115" s="82" t="n">
        <f aca="false">IF(AQ115="2",BH115,0)</f>
        <v>0</v>
      </c>
      <c r="AG115" s="82" t="n">
        <f aca="false">IF(AQ115="2",BI115,0)</f>
        <v>0</v>
      </c>
      <c r="AH115" s="82" t="n">
        <f aca="false">IF(AQ115="0",BJ115,0)</f>
        <v>0</v>
      </c>
      <c r="AI115" s="64" t="s">
        <v>99</v>
      </c>
      <c r="AJ115" s="82" t="n">
        <f aca="false">IF(AN115=0,L115,0)</f>
        <v>0</v>
      </c>
      <c r="AK115" s="82" t="n">
        <f aca="false">IF(AN115=15,L115,0)</f>
        <v>0</v>
      </c>
      <c r="AL115" s="82" t="n">
        <f aca="false">IF(AN115=21,L115,0)</f>
        <v>0</v>
      </c>
      <c r="AM115" s="51"/>
      <c r="AN115" s="82" t="n">
        <v>21</v>
      </c>
      <c r="AO115" s="82" t="n">
        <f aca="false">I115*0.0119837232960326</f>
        <v>0</v>
      </c>
      <c r="AP115" s="82" t="n">
        <f aca="false">I115*(1-0.0119837232960326)</f>
        <v>0</v>
      </c>
      <c r="AQ115" s="83" t="s">
        <v>132</v>
      </c>
      <c r="AR115" s="51"/>
      <c r="AS115" s="51"/>
      <c r="AT115" s="51"/>
      <c r="AU115" s="51"/>
      <c r="AV115" s="82" t="n">
        <f aca="false">AW115+AX115</f>
        <v>0</v>
      </c>
      <c r="AW115" s="82" t="n">
        <f aca="false">H115*AO115</f>
        <v>0</v>
      </c>
      <c r="AX115" s="82" t="n">
        <f aca="false">H115*AP115</f>
        <v>0</v>
      </c>
      <c r="AY115" s="83" t="s">
        <v>381</v>
      </c>
      <c r="AZ115" s="83" t="s">
        <v>141</v>
      </c>
      <c r="BA115" s="64" t="s">
        <v>107</v>
      </c>
      <c r="BB115" s="51"/>
      <c r="BC115" s="82" t="n">
        <f aca="false">AW115+AX115</f>
        <v>0</v>
      </c>
      <c r="BD115" s="82" t="n">
        <f aca="false">I115/(100-BE115)*100</f>
        <v>0</v>
      </c>
      <c r="BE115" s="82" t="n">
        <v>0</v>
      </c>
      <c r="BF115" s="82" t="n">
        <f aca="false">115</f>
        <v>115</v>
      </c>
      <c r="BG115" s="51"/>
      <c r="BH115" s="82" t="n">
        <f aca="false">H115*AO115</f>
        <v>0</v>
      </c>
      <c r="BI115" s="82" t="n">
        <f aca="false">H115*AP115</f>
        <v>0</v>
      </c>
      <c r="BJ115" s="82" t="n">
        <f aca="false">H115*I115</f>
        <v>0</v>
      </c>
      <c r="BK115" s="82"/>
      <c r="BL115" s="82" t="n">
        <v>725</v>
      </c>
    </row>
    <row r="116" customFormat="false" ht="15" hidden="false" customHeight="true" outlineLevel="0" collapsed="false">
      <c r="A116" s="78" t="s">
        <v>382</v>
      </c>
      <c r="B116" s="14" t="s">
        <v>383</v>
      </c>
      <c r="C116" s="14" t="s">
        <v>384</v>
      </c>
      <c r="D116" s="14"/>
      <c r="E116" s="14"/>
      <c r="F116" s="14"/>
      <c r="G116" s="14" t="s">
        <v>328</v>
      </c>
      <c r="H116" s="79" t="n">
        <v>19</v>
      </c>
      <c r="I116" s="80" t="n">
        <v>0</v>
      </c>
      <c r="J116" s="79" t="n">
        <f aca="false">H116*AO116</f>
        <v>0</v>
      </c>
      <c r="K116" s="79" t="n">
        <f aca="false">H116*AP116</f>
        <v>0</v>
      </c>
      <c r="L116" s="79" t="n">
        <f aca="false">H116*I116</f>
        <v>0</v>
      </c>
      <c r="M116" s="81" t="s">
        <v>104</v>
      </c>
      <c r="N116" s="53"/>
      <c r="O116" s="53"/>
      <c r="P116" s="53"/>
      <c r="Q116" s="53"/>
      <c r="R116" s="53"/>
      <c r="S116" s="53"/>
      <c r="T116" s="53"/>
      <c r="U116" s="53"/>
      <c r="V116" s="53"/>
      <c r="W116" s="53"/>
      <c r="X116" s="53"/>
      <c r="Y116" s="51"/>
      <c r="Z116" s="82" t="n">
        <f aca="false">IF(AQ116="5",BJ116,0)</f>
        <v>0</v>
      </c>
      <c r="AA116" s="51"/>
      <c r="AB116" s="82" t="n">
        <f aca="false">IF(AQ116="1",BH116,0)</f>
        <v>0</v>
      </c>
      <c r="AC116" s="82" t="n">
        <f aca="false">IF(AQ116="1",BI116,0)</f>
        <v>0</v>
      </c>
      <c r="AD116" s="82" t="n">
        <f aca="false">IF(AQ116="7",BH116,0)</f>
        <v>0</v>
      </c>
      <c r="AE116" s="82" t="n">
        <f aca="false">IF(AQ116="7",BI116,0)</f>
        <v>0</v>
      </c>
      <c r="AF116" s="82" t="n">
        <f aca="false">IF(AQ116="2",BH116,0)</f>
        <v>0</v>
      </c>
      <c r="AG116" s="82" t="n">
        <f aca="false">IF(AQ116="2",BI116,0)</f>
        <v>0</v>
      </c>
      <c r="AH116" s="82" t="n">
        <f aca="false">IF(AQ116="0",BJ116,0)</f>
        <v>0</v>
      </c>
      <c r="AI116" s="64" t="s">
        <v>99</v>
      </c>
      <c r="AJ116" s="82" t="n">
        <f aca="false">IF(AN116=0,L116,0)</f>
        <v>0</v>
      </c>
      <c r="AK116" s="82" t="n">
        <f aca="false">IF(AN116=15,L116,0)</f>
        <v>0</v>
      </c>
      <c r="AL116" s="82" t="n">
        <f aca="false">IF(AN116=21,L116,0)</f>
        <v>0</v>
      </c>
      <c r="AM116" s="51"/>
      <c r="AN116" s="82" t="n">
        <v>21</v>
      </c>
      <c r="AO116" s="82" t="n">
        <f aca="false">I116*0</f>
        <v>0</v>
      </c>
      <c r="AP116" s="82" t="n">
        <f aca="false">I116*(1-0)</f>
        <v>0</v>
      </c>
      <c r="AQ116" s="83" t="s">
        <v>132</v>
      </c>
      <c r="AR116" s="51"/>
      <c r="AS116" s="51"/>
      <c r="AT116" s="51"/>
      <c r="AU116" s="51"/>
      <c r="AV116" s="82" t="n">
        <f aca="false">AW116+AX116</f>
        <v>0</v>
      </c>
      <c r="AW116" s="82" t="n">
        <f aca="false">H116*AO116</f>
        <v>0</v>
      </c>
      <c r="AX116" s="82" t="n">
        <f aca="false">H116*AP116</f>
        <v>0</v>
      </c>
      <c r="AY116" s="83" t="s">
        <v>381</v>
      </c>
      <c r="AZ116" s="83" t="s">
        <v>141</v>
      </c>
      <c r="BA116" s="64" t="s">
        <v>107</v>
      </c>
      <c r="BB116" s="51"/>
      <c r="BC116" s="82" t="n">
        <f aca="false">AW116+AX116</f>
        <v>0</v>
      </c>
      <c r="BD116" s="82" t="n">
        <f aca="false">I116/(100-BE116)*100</f>
        <v>0</v>
      </c>
      <c r="BE116" s="82" t="n">
        <v>0</v>
      </c>
      <c r="BF116" s="82" t="n">
        <f aca="false">116</f>
        <v>116</v>
      </c>
      <c r="BG116" s="51"/>
      <c r="BH116" s="82" t="n">
        <f aca="false">H116*AO116</f>
        <v>0</v>
      </c>
      <c r="BI116" s="82" t="n">
        <f aca="false">H116*AP116</f>
        <v>0</v>
      </c>
      <c r="BJ116" s="82" t="n">
        <f aca="false">H116*I116</f>
        <v>0</v>
      </c>
      <c r="BK116" s="82"/>
      <c r="BL116" s="82" t="n">
        <v>725</v>
      </c>
    </row>
    <row r="117" customFormat="false" ht="15" hidden="false" customHeight="true" outlineLevel="0" collapsed="false">
      <c r="A117" s="78" t="s">
        <v>385</v>
      </c>
      <c r="B117" s="14" t="s">
        <v>386</v>
      </c>
      <c r="C117" s="14" t="s">
        <v>387</v>
      </c>
      <c r="D117" s="14"/>
      <c r="E117" s="14"/>
      <c r="F117" s="14"/>
      <c r="G117" s="14" t="s">
        <v>328</v>
      </c>
      <c r="H117" s="79" t="n">
        <v>27</v>
      </c>
      <c r="I117" s="80" t="n">
        <v>0</v>
      </c>
      <c r="J117" s="79" t="n">
        <f aca="false">H117*AO117</f>
        <v>0</v>
      </c>
      <c r="K117" s="79" t="n">
        <f aca="false">H117*AP117</f>
        <v>0</v>
      </c>
      <c r="L117" s="79" t="n">
        <f aca="false">H117*I117</f>
        <v>0</v>
      </c>
      <c r="M117" s="81" t="s">
        <v>104</v>
      </c>
      <c r="N117" s="53"/>
      <c r="O117" s="53"/>
      <c r="P117" s="53"/>
      <c r="Q117" s="53"/>
      <c r="R117" s="53"/>
      <c r="S117" s="53"/>
      <c r="T117" s="53"/>
      <c r="U117" s="53"/>
      <c r="V117" s="53"/>
      <c r="W117" s="53"/>
      <c r="X117" s="53"/>
      <c r="Y117" s="51"/>
      <c r="Z117" s="82" t="n">
        <f aca="false">IF(AQ117="5",BJ117,0)</f>
        <v>0</v>
      </c>
      <c r="AA117" s="51"/>
      <c r="AB117" s="82" t="n">
        <f aca="false">IF(AQ117="1",BH117,0)</f>
        <v>0</v>
      </c>
      <c r="AC117" s="82" t="n">
        <f aca="false">IF(AQ117="1",BI117,0)</f>
        <v>0</v>
      </c>
      <c r="AD117" s="82" t="n">
        <f aca="false">IF(AQ117="7",BH117,0)</f>
        <v>0</v>
      </c>
      <c r="AE117" s="82" t="n">
        <f aca="false">IF(AQ117="7",BI117,0)</f>
        <v>0</v>
      </c>
      <c r="AF117" s="82" t="n">
        <f aca="false">IF(AQ117="2",BH117,0)</f>
        <v>0</v>
      </c>
      <c r="AG117" s="82" t="n">
        <f aca="false">IF(AQ117="2",BI117,0)</f>
        <v>0</v>
      </c>
      <c r="AH117" s="82" t="n">
        <f aca="false">IF(AQ117="0",BJ117,0)</f>
        <v>0</v>
      </c>
      <c r="AI117" s="64" t="s">
        <v>99</v>
      </c>
      <c r="AJ117" s="82" t="n">
        <f aca="false">IF(AN117=0,L117,0)</f>
        <v>0</v>
      </c>
      <c r="AK117" s="82" t="n">
        <f aca="false">IF(AN117=15,L117,0)</f>
        <v>0</v>
      </c>
      <c r="AL117" s="82" t="n">
        <f aca="false">IF(AN117=21,L117,0)</f>
        <v>0</v>
      </c>
      <c r="AM117" s="51"/>
      <c r="AN117" s="82" t="n">
        <v>21</v>
      </c>
      <c r="AO117" s="82" t="n">
        <f aca="false">I117*0</f>
        <v>0</v>
      </c>
      <c r="AP117" s="82" t="n">
        <f aca="false">I117*(1-0)</f>
        <v>0</v>
      </c>
      <c r="AQ117" s="83" t="s">
        <v>132</v>
      </c>
      <c r="AR117" s="51"/>
      <c r="AS117" s="51"/>
      <c r="AT117" s="51"/>
      <c r="AU117" s="51"/>
      <c r="AV117" s="82" t="n">
        <f aca="false">AW117+AX117</f>
        <v>0</v>
      </c>
      <c r="AW117" s="82" t="n">
        <f aca="false">H117*AO117</f>
        <v>0</v>
      </c>
      <c r="AX117" s="82" t="n">
        <f aca="false">H117*AP117</f>
        <v>0</v>
      </c>
      <c r="AY117" s="83" t="s">
        <v>381</v>
      </c>
      <c r="AZ117" s="83" t="s">
        <v>141</v>
      </c>
      <c r="BA117" s="64" t="s">
        <v>107</v>
      </c>
      <c r="BB117" s="51"/>
      <c r="BC117" s="82" t="n">
        <f aca="false">AW117+AX117</f>
        <v>0</v>
      </c>
      <c r="BD117" s="82" t="n">
        <f aca="false">I117/(100-BE117)*100</f>
        <v>0</v>
      </c>
      <c r="BE117" s="82" t="n">
        <v>0</v>
      </c>
      <c r="BF117" s="82" t="n">
        <f aca="false">117</f>
        <v>117</v>
      </c>
      <c r="BG117" s="51"/>
      <c r="BH117" s="82" t="n">
        <f aca="false">H117*AO117</f>
        <v>0</v>
      </c>
      <c r="BI117" s="82" t="n">
        <f aca="false">H117*AP117</f>
        <v>0</v>
      </c>
      <c r="BJ117" s="82" t="n">
        <f aca="false">H117*I117</f>
        <v>0</v>
      </c>
      <c r="BK117" s="82"/>
      <c r="BL117" s="82" t="n">
        <v>725</v>
      </c>
    </row>
    <row r="118" customFormat="false" ht="15" hidden="false" customHeight="true" outlineLevel="0" collapsed="false">
      <c r="A118" s="78" t="s">
        <v>388</v>
      </c>
      <c r="B118" s="14" t="s">
        <v>389</v>
      </c>
      <c r="C118" s="14" t="s">
        <v>390</v>
      </c>
      <c r="D118" s="14"/>
      <c r="E118" s="14"/>
      <c r="F118" s="14"/>
      <c r="G118" s="14" t="s">
        <v>328</v>
      </c>
      <c r="H118" s="79" t="n">
        <v>4</v>
      </c>
      <c r="I118" s="80" t="n">
        <v>0</v>
      </c>
      <c r="J118" s="79" t="n">
        <f aca="false">H118*AO118</f>
        <v>0</v>
      </c>
      <c r="K118" s="79" t="n">
        <f aca="false">H118*AP118</f>
        <v>0</v>
      </c>
      <c r="L118" s="79" t="n">
        <f aca="false">H118*I118</f>
        <v>0</v>
      </c>
      <c r="M118" s="81" t="s">
        <v>104</v>
      </c>
      <c r="N118" s="53"/>
      <c r="O118" s="53"/>
      <c r="P118" s="53"/>
      <c r="Q118" s="53"/>
      <c r="R118" s="53"/>
      <c r="S118" s="53"/>
      <c r="T118" s="53"/>
      <c r="U118" s="53"/>
      <c r="V118" s="53"/>
      <c r="W118" s="53"/>
      <c r="X118" s="53"/>
      <c r="Y118" s="51"/>
      <c r="Z118" s="82" t="n">
        <f aca="false">IF(AQ118="5",BJ118,0)</f>
        <v>0</v>
      </c>
      <c r="AA118" s="51"/>
      <c r="AB118" s="82" t="n">
        <f aca="false">IF(AQ118="1",BH118,0)</f>
        <v>0</v>
      </c>
      <c r="AC118" s="82" t="n">
        <f aca="false">IF(AQ118="1",BI118,0)</f>
        <v>0</v>
      </c>
      <c r="AD118" s="82" t="n">
        <f aca="false">IF(AQ118="7",BH118,0)</f>
        <v>0</v>
      </c>
      <c r="AE118" s="82" t="n">
        <f aca="false">IF(AQ118="7",BI118,0)</f>
        <v>0</v>
      </c>
      <c r="AF118" s="82" t="n">
        <f aca="false">IF(AQ118="2",BH118,0)</f>
        <v>0</v>
      </c>
      <c r="AG118" s="82" t="n">
        <f aca="false">IF(AQ118="2",BI118,0)</f>
        <v>0</v>
      </c>
      <c r="AH118" s="82" t="n">
        <f aca="false">IF(AQ118="0",BJ118,0)</f>
        <v>0</v>
      </c>
      <c r="AI118" s="64" t="s">
        <v>99</v>
      </c>
      <c r="AJ118" s="82" t="n">
        <f aca="false">IF(AN118=0,L118,0)</f>
        <v>0</v>
      </c>
      <c r="AK118" s="82" t="n">
        <f aca="false">IF(AN118=15,L118,0)</f>
        <v>0</v>
      </c>
      <c r="AL118" s="82" t="n">
        <f aca="false">IF(AN118=21,L118,0)</f>
        <v>0</v>
      </c>
      <c r="AM118" s="51"/>
      <c r="AN118" s="82" t="n">
        <v>21</v>
      </c>
      <c r="AO118" s="82" t="n">
        <f aca="false">I118*0</f>
        <v>0</v>
      </c>
      <c r="AP118" s="82" t="n">
        <f aca="false">I118*(1-0)</f>
        <v>0</v>
      </c>
      <c r="AQ118" s="83" t="s">
        <v>132</v>
      </c>
      <c r="AR118" s="51"/>
      <c r="AS118" s="51"/>
      <c r="AT118" s="51"/>
      <c r="AU118" s="51"/>
      <c r="AV118" s="82" t="n">
        <f aca="false">AW118+AX118</f>
        <v>0</v>
      </c>
      <c r="AW118" s="82" t="n">
        <f aca="false">H118*AO118</f>
        <v>0</v>
      </c>
      <c r="AX118" s="82" t="n">
        <f aca="false">H118*AP118</f>
        <v>0</v>
      </c>
      <c r="AY118" s="83" t="s">
        <v>381</v>
      </c>
      <c r="AZ118" s="83" t="s">
        <v>141</v>
      </c>
      <c r="BA118" s="64" t="s">
        <v>107</v>
      </c>
      <c r="BB118" s="51"/>
      <c r="BC118" s="82" t="n">
        <f aca="false">AW118+AX118</f>
        <v>0</v>
      </c>
      <c r="BD118" s="82" t="n">
        <f aca="false">I118/(100-BE118)*100</f>
        <v>0</v>
      </c>
      <c r="BE118" s="82" t="n">
        <v>0</v>
      </c>
      <c r="BF118" s="82" t="n">
        <f aca="false">118</f>
        <v>118</v>
      </c>
      <c r="BG118" s="51"/>
      <c r="BH118" s="82" t="n">
        <f aca="false">H118*AO118</f>
        <v>0</v>
      </c>
      <c r="BI118" s="82" t="n">
        <f aca="false">H118*AP118</f>
        <v>0</v>
      </c>
      <c r="BJ118" s="82" t="n">
        <f aca="false">H118*I118</f>
        <v>0</v>
      </c>
      <c r="BK118" s="82"/>
      <c r="BL118" s="82" t="n">
        <v>725</v>
      </c>
    </row>
    <row r="119" customFormat="false" ht="15" hidden="false" customHeight="true" outlineLevel="0" collapsed="false">
      <c r="A119" s="78" t="s">
        <v>391</v>
      </c>
      <c r="B119" s="14" t="s">
        <v>392</v>
      </c>
      <c r="C119" s="14" t="s">
        <v>393</v>
      </c>
      <c r="D119" s="14"/>
      <c r="E119" s="14"/>
      <c r="F119" s="14"/>
      <c r="G119" s="14" t="s">
        <v>328</v>
      </c>
      <c r="H119" s="79" t="n">
        <v>6</v>
      </c>
      <c r="I119" s="80" t="n">
        <v>0</v>
      </c>
      <c r="J119" s="79" t="n">
        <f aca="false">H119*AO119</f>
        <v>0</v>
      </c>
      <c r="K119" s="79" t="n">
        <f aca="false">H119*AP119</f>
        <v>0</v>
      </c>
      <c r="L119" s="79" t="n">
        <f aca="false">H119*I119</f>
        <v>0</v>
      </c>
      <c r="M119" s="81" t="s">
        <v>104</v>
      </c>
      <c r="N119" s="53"/>
      <c r="O119" s="53"/>
      <c r="P119" s="53"/>
      <c r="Q119" s="53"/>
      <c r="R119" s="53"/>
      <c r="S119" s="53"/>
      <c r="T119" s="53"/>
      <c r="U119" s="53"/>
      <c r="V119" s="53"/>
      <c r="W119" s="53"/>
      <c r="X119" s="53"/>
      <c r="Y119" s="51"/>
      <c r="Z119" s="82" t="n">
        <f aca="false">IF(AQ119="5",BJ119,0)</f>
        <v>0</v>
      </c>
      <c r="AA119" s="51"/>
      <c r="AB119" s="82" t="n">
        <f aca="false">IF(AQ119="1",BH119,0)</f>
        <v>0</v>
      </c>
      <c r="AC119" s="82" t="n">
        <f aca="false">IF(AQ119="1",BI119,0)</f>
        <v>0</v>
      </c>
      <c r="AD119" s="82" t="n">
        <f aca="false">IF(AQ119="7",BH119,0)</f>
        <v>0</v>
      </c>
      <c r="AE119" s="82" t="n">
        <f aca="false">IF(AQ119="7",BI119,0)</f>
        <v>0</v>
      </c>
      <c r="AF119" s="82" t="n">
        <f aca="false">IF(AQ119="2",BH119,0)</f>
        <v>0</v>
      </c>
      <c r="AG119" s="82" t="n">
        <f aca="false">IF(AQ119="2",BI119,0)</f>
        <v>0</v>
      </c>
      <c r="AH119" s="82" t="n">
        <f aca="false">IF(AQ119="0",BJ119,0)</f>
        <v>0</v>
      </c>
      <c r="AI119" s="64" t="s">
        <v>99</v>
      </c>
      <c r="AJ119" s="82" t="n">
        <f aca="false">IF(AN119=0,L119,0)</f>
        <v>0</v>
      </c>
      <c r="AK119" s="82" t="n">
        <f aca="false">IF(AN119=15,L119,0)</f>
        <v>0</v>
      </c>
      <c r="AL119" s="82" t="n">
        <f aca="false">IF(AN119=21,L119,0)</f>
        <v>0</v>
      </c>
      <c r="AM119" s="51"/>
      <c r="AN119" s="82" t="n">
        <v>21</v>
      </c>
      <c r="AO119" s="82" t="n">
        <f aca="false">I119*0</f>
        <v>0</v>
      </c>
      <c r="AP119" s="82" t="n">
        <f aca="false">I119*(1-0)</f>
        <v>0</v>
      </c>
      <c r="AQ119" s="83" t="s">
        <v>132</v>
      </c>
      <c r="AR119" s="51"/>
      <c r="AS119" s="51"/>
      <c r="AT119" s="51"/>
      <c r="AU119" s="51"/>
      <c r="AV119" s="82" t="n">
        <f aca="false">AW119+AX119</f>
        <v>0</v>
      </c>
      <c r="AW119" s="82" t="n">
        <f aca="false">H119*AO119</f>
        <v>0</v>
      </c>
      <c r="AX119" s="82" t="n">
        <f aca="false">H119*AP119</f>
        <v>0</v>
      </c>
      <c r="AY119" s="83" t="s">
        <v>381</v>
      </c>
      <c r="AZ119" s="83" t="s">
        <v>141</v>
      </c>
      <c r="BA119" s="64" t="s">
        <v>107</v>
      </c>
      <c r="BB119" s="51"/>
      <c r="BC119" s="82" t="n">
        <f aca="false">AW119+AX119</f>
        <v>0</v>
      </c>
      <c r="BD119" s="82" t="n">
        <f aca="false">I119/(100-BE119)*100</f>
        <v>0</v>
      </c>
      <c r="BE119" s="82" t="n">
        <v>0</v>
      </c>
      <c r="BF119" s="82" t="n">
        <f aca="false">119</f>
        <v>119</v>
      </c>
      <c r="BG119" s="51"/>
      <c r="BH119" s="82" t="n">
        <f aca="false">H119*AO119</f>
        <v>0</v>
      </c>
      <c r="BI119" s="82" t="n">
        <f aca="false">H119*AP119</f>
        <v>0</v>
      </c>
      <c r="BJ119" s="82" t="n">
        <f aca="false">H119*I119</f>
        <v>0</v>
      </c>
      <c r="BK119" s="82"/>
      <c r="BL119" s="82" t="n">
        <v>725</v>
      </c>
    </row>
    <row r="120" customFormat="false" ht="15" hidden="false" customHeight="true" outlineLevel="0" collapsed="false">
      <c r="A120" s="78" t="s">
        <v>394</v>
      </c>
      <c r="B120" s="14" t="s">
        <v>395</v>
      </c>
      <c r="C120" s="14" t="s">
        <v>396</v>
      </c>
      <c r="D120" s="14"/>
      <c r="E120" s="14"/>
      <c r="F120" s="14"/>
      <c r="G120" s="14" t="s">
        <v>328</v>
      </c>
      <c r="H120" s="79" t="n">
        <v>51</v>
      </c>
      <c r="I120" s="80" t="n">
        <v>0</v>
      </c>
      <c r="J120" s="79" t="n">
        <f aca="false">H120*AO120</f>
        <v>0</v>
      </c>
      <c r="K120" s="79" t="n">
        <f aca="false">H120*AP120</f>
        <v>0</v>
      </c>
      <c r="L120" s="79" t="n">
        <f aca="false">H120*I120</f>
        <v>0</v>
      </c>
      <c r="M120" s="81" t="s">
        <v>104</v>
      </c>
      <c r="N120" s="53"/>
      <c r="O120" s="53"/>
      <c r="P120" s="53"/>
      <c r="Q120" s="53"/>
      <c r="R120" s="53"/>
      <c r="S120" s="53"/>
      <c r="T120" s="53"/>
      <c r="U120" s="53"/>
      <c r="V120" s="53"/>
      <c r="W120" s="53"/>
      <c r="X120" s="53"/>
      <c r="Y120" s="51"/>
      <c r="Z120" s="82" t="n">
        <f aca="false">IF(AQ120="5",BJ120,0)</f>
        <v>0</v>
      </c>
      <c r="AA120" s="51"/>
      <c r="AB120" s="82" t="n">
        <f aca="false">IF(AQ120="1",BH120,0)</f>
        <v>0</v>
      </c>
      <c r="AC120" s="82" t="n">
        <f aca="false">IF(AQ120="1",BI120,0)</f>
        <v>0</v>
      </c>
      <c r="AD120" s="82" t="n">
        <f aca="false">IF(AQ120="7",BH120,0)</f>
        <v>0</v>
      </c>
      <c r="AE120" s="82" t="n">
        <f aca="false">IF(AQ120="7",BI120,0)</f>
        <v>0</v>
      </c>
      <c r="AF120" s="82" t="n">
        <f aca="false">IF(AQ120="2",BH120,0)</f>
        <v>0</v>
      </c>
      <c r="AG120" s="82" t="n">
        <f aca="false">IF(AQ120="2",BI120,0)</f>
        <v>0</v>
      </c>
      <c r="AH120" s="82" t="n">
        <f aca="false">IF(AQ120="0",BJ120,0)</f>
        <v>0</v>
      </c>
      <c r="AI120" s="64" t="s">
        <v>99</v>
      </c>
      <c r="AJ120" s="82" t="n">
        <f aca="false">IF(AN120=0,L120,0)</f>
        <v>0</v>
      </c>
      <c r="AK120" s="82" t="n">
        <f aca="false">IF(AN120=15,L120,0)</f>
        <v>0</v>
      </c>
      <c r="AL120" s="82" t="n">
        <f aca="false">IF(AN120=21,L120,0)</f>
        <v>0</v>
      </c>
      <c r="AM120" s="51"/>
      <c r="AN120" s="82" t="n">
        <v>21</v>
      </c>
      <c r="AO120" s="82" t="n">
        <f aca="false">I120*0.719394789579158</f>
        <v>0</v>
      </c>
      <c r="AP120" s="82" t="n">
        <f aca="false">I120*(1-0.719394789579158)</f>
        <v>0</v>
      </c>
      <c r="AQ120" s="83" t="s">
        <v>132</v>
      </c>
      <c r="AR120" s="51"/>
      <c r="AS120" s="51"/>
      <c r="AT120" s="51"/>
      <c r="AU120" s="51"/>
      <c r="AV120" s="82" t="n">
        <f aca="false">AW120+AX120</f>
        <v>0</v>
      </c>
      <c r="AW120" s="82" t="n">
        <f aca="false">H120*AO120</f>
        <v>0</v>
      </c>
      <c r="AX120" s="82" t="n">
        <f aca="false">H120*AP120</f>
        <v>0</v>
      </c>
      <c r="AY120" s="83" t="s">
        <v>381</v>
      </c>
      <c r="AZ120" s="83" t="s">
        <v>141</v>
      </c>
      <c r="BA120" s="64" t="s">
        <v>107</v>
      </c>
      <c r="BB120" s="51"/>
      <c r="BC120" s="82" t="n">
        <f aca="false">AW120+AX120</f>
        <v>0</v>
      </c>
      <c r="BD120" s="82" t="n">
        <f aca="false">I120/(100-BE120)*100</f>
        <v>0</v>
      </c>
      <c r="BE120" s="82" t="n">
        <v>0</v>
      </c>
      <c r="BF120" s="82" t="n">
        <f aca="false">120</f>
        <v>120</v>
      </c>
      <c r="BG120" s="51"/>
      <c r="BH120" s="82" t="n">
        <f aca="false">H120*AO120</f>
        <v>0</v>
      </c>
      <c r="BI120" s="82" t="n">
        <f aca="false">H120*AP120</f>
        <v>0</v>
      </c>
      <c r="BJ120" s="82" t="n">
        <f aca="false">H120*I120</f>
        <v>0</v>
      </c>
      <c r="BK120" s="82"/>
      <c r="BL120" s="82" t="n">
        <v>725</v>
      </c>
    </row>
    <row r="121" customFormat="false" ht="15" hidden="false" customHeight="true" outlineLevel="0" collapsed="false">
      <c r="A121" s="78" t="s">
        <v>397</v>
      </c>
      <c r="B121" s="14" t="s">
        <v>398</v>
      </c>
      <c r="C121" s="14" t="s">
        <v>399</v>
      </c>
      <c r="D121" s="14"/>
      <c r="E121" s="14"/>
      <c r="F121" s="14"/>
      <c r="G121" s="14" t="s">
        <v>328</v>
      </c>
      <c r="H121" s="79" t="n">
        <v>19</v>
      </c>
      <c r="I121" s="80" t="n">
        <v>0</v>
      </c>
      <c r="J121" s="79" t="n">
        <f aca="false">H121*AO121</f>
        <v>0</v>
      </c>
      <c r="K121" s="79" t="n">
        <f aca="false">H121*AP121</f>
        <v>0</v>
      </c>
      <c r="L121" s="79" t="n">
        <f aca="false">H121*I121</f>
        <v>0</v>
      </c>
      <c r="M121" s="81" t="s">
        <v>104</v>
      </c>
      <c r="N121" s="53"/>
      <c r="O121" s="53"/>
      <c r="P121" s="53"/>
      <c r="Q121" s="53"/>
      <c r="R121" s="53"/>
      <c r="S121" s="53"/>
      <c r="T121" s="53"/>
      <c r="U121" s="53"/>
      <c r="V121" s="53"/>
      <c r="W121" s="53"/>
      <c r="X121" s="53"/>
      <c r="Y121" s="51"/>
      <c r="Z121" s="82" t="n">
        <f aca="false">IF(AQ121="5",BJ121,0)</f>
        <v>0</v>
      </c>
      <c r="AA121" s="51"/>
      <c r="AB121" s="82" t="n">
        <f aca="false">IF(AQ121="1",BH121,0)</f>
        <v>0</v>
      </c>
      <c r="AC121" s="82" t="n">
        <f aca="false">IF(AQ121="1",BI121,0)</f>
        <v>0</v>
      </c>
      <c r="AD121" s="82" t="n">
        <f aca="false">IF(AQ121="7",BH121,0)</f>
        <v>0</v>
      </c>
      <c r="AE121" s="82" t="n">
        <f aca="false">IF(AQ121="7",BI121,0)</f>
        <v>0</v>
      </c>
      <c r="AF121" s="82" t="n">
        <f aca="false">IF(AQ121="2",BH121,0)</f>
        <v>0</v>
      </c>
      <c r="AG121" s="82" t="n">
        <f aca="false">IF(AQ121="2",BI121,0)</f>
        <v>0</v>
      </c>
      <c r="AH121" s="82" t="n">
        <f aca="false">IF(AQ121="0",BJ121,0)</f>
        <v>0</v>
      </c>
      <c r="AI121" s="64" t="s">
        <v>99</v>
      </c>
      <c r="AJ121" s="82" t="n">
        <f aca="false">IF(AN121=0,L121,0)</f>
        <v>0</v>
      </c>
      <c r="AK121" s="82" t="n">
        <f aca="false">IF(AN121=15,L121,0)</f>
        <v>0</v>
      </c>
      <c r="AL121" s="82" t="n">
        <f aca="false">IF(AN121=21,L121,0)</f>
        <v>0</v>
      </c>
      <c r="AM121" s="51"/>
      <c r="AN121" s="82" t="n">
        <v>21</v>
      </c>
      <c r="AO121" s="82" t="n">
        <f aca="false">I121*0.843891008174387</f>
        <v>0</v>
      </c>
      <c r="AP121" s="82" t="n">
        <f aca="false">I121*(1-0.843891008174387)</f>
        <v>0</v>
      </c>
      <c r="AQ121" s="83" t="s">
        <v>132</v>
      </c>
      <c r="AR121" s="51"/>
      <c r="AS121" s="51"/>
      <c r="AT121" s="51"/>
      <c r="AU121" s="51"/>
      <c r="AV121" s="82" t="n">
        <f aca="false">AW121+AX121</f>
        <v>0</v>
      </c>
      <c r="AW121" s="82" t="n">
        <f aca="false">H121*AO121</f>
        <v>0</v>
      </c>
      <c r="AX121" s="82" t="n">
        <f aca="false">H121*AP121</f>
        <v>0</v>
      </c>
      <c r="AY121" s="83" t="s">
        <v>381</v>
      </c>
      <c r="AZ121" s="83" t="s">
        <v>141</v>
      </c>
      <c r="BA121" s="64" t="s">
        <v>107</v>
      </c>
      <c r="BB121" s="51"/>
      <c r="BC121" s="82" t="n">
        <f aca="false">AW121+AX121</f>
        <v>0</v>
      </c>
      <c r="BD121" s="82" t="n">
        <f aca="false">I121/(100-BE121)*100</f>
        <v>0</v>
      </c>
      <c r="BE121" s="82" t="n">
        <v>0</v>
      </c>
      <c r="BF121" s="82" t="n">
        <f aca="false">121</f>
        <v>121</v>
      </c>
      <c r="BG121" s="51"/>
      <c r="BH121" s="82" t="n">
        <f aca="false">H121*AO121</f>
        <v>0</v>
      </c>
      <c r="BI121" s="82" t="n">
        <f aca="false">H121*AP121</f>
        <v>0</v>
      </c>
      <c r="BJ121" s="82" t="n">
        <f aca="false">H121*I121</f>
        <v>0</v>
      </c>
      <c r="BK121" s="82"/>
      <c r="BL121" s="82" t="n">
        <v>725</v>
      </c>
    </row>
    <row r="122" customFormat="false" ht="15" hidden="false" customHeight="true" outlineLevel="0" collapsed="false">
      <c r="A122" s="78" t="s">
        <v>400</v>
      </c>
      <c r="B122" s="14" t="s">
        <v>401</v>
      </c>
      <c r="C122" s="14" t="s">
        <v>402</v>
      </c>
      <c r="D122" s="14"/>
      <c r="E122" s="14"/>
      <c r="F122" s="14"/>
      <c r="G122" s="14" t="s">
        <v>328</v>
      </c>
      <c r="H122" s="79" t="n">
        <v>27</v>
      </c>
      <c r="I122" s="80" t="n">
        <v>0</v>
      </c>
      <c r="J122" s="79" t="n">
        <f aca="false">H122*AO122</f>
        <v>0</v>
      </c>
      <c r="K122" s="79" t="n">
        <f aca="false">H122*AP122</f>
        <v>0</v>
      </c>
      <c r="L122" s="79" t="n">
        <f aca="false">H122*I122</f>
        <v>0</v>
      </c>
      <c r="M122" s="81" t="s">
        <v>104</v>
      </c>
      <c r="N122" s="53"/>
      <c r="O122" s="53"/>
      <c r="P122" s="53"/>
      <c r="Q122" s="53"/>
      <c r="R122" s="53"/>
      <c r="S122" s="53"/>
      <c r="T122" s="53"/>
      <c r="U122" s="53"/>
      <c r="V122" s="53"/>
      <c r="W122" s="53"/>
      <c r="X122" s="53"/>
      <c r="Y122" s="51"/>
      <c r="Z122" s="82" t="n">
        <f aca="false">IF(AQ122="5",BJ122,0)</f>
        <v>0</v>
      </c>
      <c r="AA122" s="51"/>
      <c r="AB122" s="82" t="n">
        <f aca="false">IF(AQ122="1",BH122,0)</f>
        <v>0</v>
      </c>
      <c r="AC122" s="82" t="n">
        <f aca="false">IF(AQ122="1",BI122,0)</f>
        <v>0</v>
      </c>
      <c r="AD122" s="82" t="n">
        <f aca="false">IF(AQ122="7",BH122,0)</f>
        <v>0</v>
      </c>
      <c r="AE122" s="82" t="n">
        <f aca="false">IF(AQ122="7",BI122,0)</f>
        <v>0</v>
      </c>
      <c r="AF122" s="82" t="n">
        <f aca="false">IF(AQ122="2",BH122,0)</f>
        <v>0</v>
      </c>
      <c r="AG122" s="82" t="n">
        <f aca="false">IF(AQ122="2",BI122,0)</f>
        <v>0</v>
      </c>
      <c r="AH122" s="82" t="n">
        <f aca="false">IF(AQ122="0",BJ122,0)</f>
        <v>0</v>
      </c>
      <c r="AI122" s="64" t="s">
        <v>99</v>
      </c>
      <c r="AJ122" s="82" t="n">
        <f aca="false">IF(AN122=0,L122,0)</f>
        <v>0</v>
      </c>
      <c r="AK122" s="82" t="n">
        <f aca="false">IF(AN122=15,L122,0)</f>
        <v>0</v>
      </c>
      <c r="AL122" s="82" t="n">
        <f aca="false">IF(AN122=21,L122,0)</f>
        <v>0</v>
      </c>
      <c r="AM122" s="51"/>
      <c r="AN122" s="82" t="n">
        <v>21</v>
      </c>
      <c r="AO122" s="82" t="n">
        <f aca="false">I122*0.926065131056394</f>
        <v>0</v>
      </c>
      <c r="AP122" s="82" t="n">
        <f aca="false">I122*(1-0.926065131056394)</f>
        <v>0</v>
      </c>
      <c r="AQ122" s="83" t="s">
        <v>132</v>
      </c>
      <c r="AR122" s="51"/>
      <c r="AS122" s="51"/>
      <c r="AT122" s="51"/>
      <c r="AU122" s="51"/>
      <c r="AV122" s="82" t="n">
        <f aca="false">AW122+AX122</f>
        <v>0</v>
      </c>
      <c r="AW122" s="82" t="n">
        <f aca="false">H122*AO122</f>
        <v>0</v>
      </c>
      <c r="AX122" s="82" t="n">
        <f aca="false">H122*AP122</f>
        <v>0</v>
      </c>
      <c r="AY122" s="83" t="s">
        <v>381</v>
      </c>
      <c r="AZ122" s="83" t="s">
        <v>141</v>
      </c>
      <c r="BA122" s="64" t="s">
        <v>107</v>
      </c>
      <c r="BB122" s="51"/>
      <c r="BC122" s="82" t="n">
        <f aca="false">AW122+AX122</f>
        <v>0</v>
      </c>
      <c r="BD122" s="82" t="n">
        <f aca="false">I122/(100-BE122)*100</f>
        <v>0</v>
      </c>
      <c r="BE122" s="82" t="n">
        <v>0</v>
      </c>
      <c r="BF122" s="82" t="n">
        <f aca="false">122</f>
        <v>122</v>
      </c>
      <c r="BG122" s="51"/>
      <c r="BH122" s="82" t="n">
        <f aca="false">H122*AO122</f>
        <v>0</v>
      </c>
      <c r="BI122" s="82" t="n">
        <f aca="false">H122*AP122</f>
        <v>0</v>
      </c>
      <c r="BJ122" s="82" t="n">
        <f aca="false">H122*I122</f>
        <v>0</v>
      </c>
      <c r="BK122" s="82"/>
      <c r="BL122" s="82" t="n">
        <v>725</v>
      </c>
    </row>
    <row r="123" customFormat="false" ht="15" hidden="false" customHeight="true" outlineLevel="0" collapsed="false">
      <c r="A123" s="78" t="s">
        <v>403</v>
      </c>
      <c r="B123" s="14" t="s">
        <v>404</v>
      </c>
      <c r="C123" s="14" t="s">
        <v>405</v>
      </c>
      <c r="D123" s="14"/>
      <c r="E123" s="14"/>
      <c r="F123" s="14"/>
      <c r="G123" s="14" t="s">
        <v>328</v>
      </c>
      <c r="H123" s="79" t="n">
        <v>4</v>
      </c>
      <c r="I123" s="80" t="n">
        <v>0</v>
      </c>
      <c r="J123" s="79" t="n">
        <f aca="false">H123*AO123</f>
        <v>0</v>
      </c>
      <c r="K123" s="79" t="n">
        <f aca="false">H123*AP123</f>
        <v>0</v>
      </c>
      <c r="L123" s="79" t="n">
        <f aca="false">H123*I123</f>
        <v>0</v>
      </c>
      <c r="M123" s="81" t="s">
        <v>104</v>
      </c>
      <c r="N123" s="53"/>
      <c r="O123" s="53"/>
      <c r="P123" s="53"/>
      <c r="Q123" s="53"/>
      <c r="R123" s="53"/>
      <c r="S123" s="53"/>
      <c r="T123" s="53"/>
      <c r="U123" s="53"/>
      <c r="V123" s="53"/>
      <c r="W123" s="53"/>
      <c r="X123" s="53"/>
      <c r="Y123" s="51"/>
      <c r="Z123" s="82" t="n">
        <f aca="false">IF(AQ123="5",BJ123,0)</f>
        <v>0</v>
      </c>
      <c r="AA123" s="51"/>
      <c r="AB123" s="82" t="n">
        <f aca="false">IF(AQ123="1",BH123,0)</f>
        <v>0</v>
      </c>
      <c r="AC123" s="82" t="n">
        <f aca="false">IF(AQ123="1",BI123,0)</f>
        <v>0</v>
      </c>
      <c r="AD123" s="82" t="n">
        <f aca="false">IF(AQ123="7",BH123,0)</f>
        <v>0</v>
      </c>
      <c r="AE123" s="82" t="n">
        <f aca="false">IF(AQ123="7",BI123,0)</f>
        <v>0</v>
      </c>
      <c r="AF123" s="82" t="n">
        <f aca="false">IF(AQ123="2",BH123,0)</f>
        <v>0</v>
      </c>
      <c r="AG123" s="82" t="n">
        <f aca="false">IF(AQ123="2",BI123,0)</f>
        <v>0</v>
      </c>
      <c r="AH123" s="82" t="n">
        <f aca="false">IF(AQ123="0",BJ123,0)</f>
        <v>0</v>
      </c>
      <c r="AI123" s="64" t="s">
        <v>99</v>
      </c>
      <c r="AJ123" s="82" t="n">
        <f aca="false">IF(AN123=0,L123,0)</f>
        <v>0</v>
      </c>
      <c r="AK123" s="82" t="n">
        <f aca="false">IF(AN123=15,L123,0)</f>
        <v>0</v>
      </c>
      <c r="AL123" s="82" t="n">
        <f aca="false">IF(AN123=21,L123,0)</f>
        <v>0</v>
      </c>
      <c r="AM123" s="51"/>
      <c r="AN123" s="82" t="n">
        <v>21</v>
      </c>
      <c r="AO123" s="82" t="n">
        <f aca="false">I123*0.897632680991211</f>
        <v>0</v>
      </c>
      <c r="AP123" s="82" t="n">
        <f aca="false">I123*(1-0.897632680991211)</f>
        <v>0</v>
      </c>
      <c r="AQ123" s="83" t="s">
        <v>132</v>
      </c>
      <c r="AR123" s="51"/>
      <c r="AS123" s="51"/>
      <c r="AT123" s="51"/>
      <c r="AU123" s="51"/>
      <c r="AV123" s="82" t="n">
        <f aca="false">AW123+AX123</f>
        <v>0</v>
      </c>
      <c r="AW123" s="82" t="n">
        <f aca="false">H123*AO123</f>
        <v>0</v>
      </c>
      <c r="AX123" s="82" t="n">
        <f aca="false">H123*AP123</f>
        <v>0</v>
      </c>
      <c r="AY123" s="83" t="s">
        <v>381</v>
      </c>
      <c r="AZ123" s="83" t="s">
        <v>141</v>
      </c>
      <c r="BA123" s="64" t="s">
        <v>107</v>
      </c>
      <c r="BB123" s="51"/>
      <c r="BC123" s="82" t="n">
        <f aca="false">AW123+AX123</f>
        <v>0</v>
      </c>
      <c r="BD123" s="82" t="n">
        <f aca="false">I123/(100-BE123)*100</f>
        <v>0</v>
      </c>
      <c r="BE123" s="82" t="n">
        <v>0</v>
      </c>
      <c r="BF123" s="82" t="n">
        <f aca="false">123</f>
        <v>123</v>
      </c>
      <c r="BG123" s="51"/>
      <c r="BH123" s="82" t="n">
        <f aca="false">H123*AO123</f>
        <v>0</v>
      </c>
      <c r="BI123" s="82" t="n">
        <f aca="false">H123*AP123</f>
        <v>0</v>
      </c>
      <c r="BJ123" s="82" t="n">
        <f aca="false">H123*I123</f>
        <v>0</v>
      </c>
      <c r="BK123" s="82"/>
      <c r="BL123" s="82" t="n">
        <v>725</v>
      </c>
    </row>
    <row r="124" customFormat="false" ht="15" hidden="false" customHeight="true" outlineLevel="0" collapsed="false">
      <c r="A124" s="78" t="s">
        <v>406</v>
      </c>
      <c r="B124" s="14" t="s">
        <v>407</v>
      </c>
      <c r="C124" s="14" t="s">
        <v>408</v>
      </c>
      <c r="D124" s="14"/>
      <c r="E124" s="14"/>
      <c r="F124" s="14"/>
      <c r="G124" s="14" t="s">
        <v>328</v>
      </c>
      <c r="H124" s="79" t="n">
        <v>6</v>
      </c>
      <c r="I124" s="80" t="n">
        <v>0</v>
      </c>
      <c r="J124" s="79" t="n">
        <f aca="false">H124*AO124</f>
        <v>0</v>
      </c>
      <c r="K124" s="79" t="n">
        <f aca="false">H124*AP124</f>
        <v>0</v>
      </c>
      <c r="L124" s="79" t="n">
        <f aca="false">H124*I124</f>
        <v>0</v>
      </c>
      <c r="M124" s="81" t="s">
        <v>104</v>
      </c>
      <c r="N124" s="53"/>
      <c r="O124" s="53"/>
      <c r="P124" s="53"/>
      <c r="Q124" s="53"/>
      <c r="R124" s="53"/>
      <c r="S124" s="53"/>
      <c r="T124" s="53"/>
      <c r="U124" s="53"/>
      <c r="V124" s="53"/>
      <c r="W124" s="53"/>
      <c r="X124" s="53"/>
      <c r="Y124" s="51"/>
      <c r="Z124" s="82" t="n">
        <f aca="false">IF(AQ124="5",BJ124,0)</f>
        <v>0</v>
      </c>
      <c r="AA124" s="51"/>
      <c r="AB124" s="82" t="n">
        <f aca="false">IF(AQ124="1",BH124,0)</f>
        <v>0</v>
      </c>
      <c r="AC124" s="82" t="n">
        <f aca="false">IF(AQ124="1",BI124,0)</f>
        <v>0</v>
      </c>
      <c r="AD124" s="82" t="n">
        <f aca="false">IF(AQ124="7",BH124,0)</f>
        <v>0</v>
      </c>
      <c r="AE124" s="82" t="n">
        <f aca="false">IF(AQ124="7",BI124,0)</f>
        <v>0</v>
      </c>
      <c r="AF124" s="82" t="n">
        <f aca="false">IF(AQ124="2",BH124,0)</f>
        <v>0</v>
      </c>
      <c r="AG124" s="82" t="n">
        <f aca="false">IF(AQ124="2",BI124,0)</f>
        <v>0</v>
      </c>
      <c r="AH124" s="82" t="n">
        <f aca="false">IF(AQ124="0",BJ124,0)</f>
        <v>0</v>
      </c>
      <c r="AI124" s="64" t="s">
        <v>99</v>
      </c>
      <c r="AJ124" s="82" t="n">
        <f aca="false">IF(AN124=0,L124,0)</f>
        <v>0</v>
      </c>
      <c r="AK124" s="82" t="n">
        <f aca="false">IF(AN124=15,L124,0)</f>
        <v>0</v>
      </c>
      <c r="AL124" s="82" t="n">
        <f aca="false">IF(AN124=21,L124,0)</f>
        <v>0</v>
      </c>
      <c r="AM124" s="51"/>
      <c r="AN124" s="82" t="n">
        <v>21</v>
      </c>
      <c r="AO124" s="82" t="n">
        <f aca="false">I124*0.846908607739817</f>
        <v>0</v>
      </c>
      <c r="AP124" s="82" t="n">
        <f aca="false">I124*(1-0.846908607739817)</f>
        <v>0</v>
      </c>
      <c r="AQ124" s="83" t="s">
        <v>132</v>
      </c>
      <c r="AR124" s="51"/>
      <c r="AS124" s="51"/>
      <c r="AT124" s="51"/>
      <c r="AU124" s="51"/>
      <c r="AV124" s="82" t="n">
        <f aca="false">AW124+AX124</f>
        <v>0</v>
      </c>
      <c r="AW124" s="82" t="n">
        <f aca="false">H124*AO124</f>
        <v>0</v>
      </c>
      <c r="AX124" s="82" t="n">
        <f aca="false">H124*AP124</f>
        <v>0</v>
      </c>
      <c r="AY124" s="83" t="s">
        <v>381</v>
      </c>
      <c r="AZ124" s="83" t="s">
        <v>141</v>
      </c>
      <c r="BA124" s="64" t="s">
        <v>107</v>
      </c>
      <c r="BB124" s="51"/>
      <c r="BC124" s="82" t="n">
        <f aca="false">AW124+AX124</f>
        <v>0</v>
      </c>
      <c r="BD124" s="82" t="n">
        <f aca="false">I124/(100-BE124)*100</f>
        <v>0</v>
      </c>
      <c r="BE124" s="82" t="n">
        <v>0</v>
      </c>
      <c r="BF124" s="82" t="n">
        <f aca="false">124</f>
        <v>124</v>
      </c>
      <c r="BG124" s="51"/>
      <c r="BH124" s="82" t="n">
        <f aca="false">H124*AO124</f>
        <v>0</v>
      </c>
      <c r="BI124" s="82" t="n">
        <f aca="false">H124*AP124</f>
        <v>0</v>
      </c>
      <c r="BJ124" s="82" t="n">
        <f aca="false">H124*I124</f>
        <v>0</v>
      </c>
      <c r="BK124" s="82"/>
      <c r="BL124" s="82" t="n">
        <v>725</v>
      </c>
    </row>
    <row r="125" customFormat="false" ht="15" hidden="false" customHeight="true" outlineLevel="0" collapsed="false">
      <c r="A125" s="78" t="s">
        <v>409</v>
      </c>
      <c r="B125" s="14" t="s">
        <v>410</v>
      </c>
      <c r="C125" s="14" t="s">
        <v>411</v>
      </c>
      <c r="D125" s="14"/>
      <c r="E125" s="14"/>
      <c r="F125" s="14"/>
      <c r="G125" s="14" t="s">
        <v>111</v>
      </c>
      <c r="H125" s="79" t="n">
        <v>36</v>
      </c>
      <c r="I125" s="80" t="n">
        <v>0</v>
      </c>
      <c r="J125" s="79" t="n">
        <f aca="false">H125*AO125</f>
        <v>0</v>
      </c>
      <c r="K125" s="79" t="n">
        <f aca="false">H125*AP125</f>
        <v>0</v>
      </c>
      <c r="L125" s="79" t="n">
        <f aca="false">H125*I125</f>
        <v>0</v>
      </c>
      <c r="M125" s="81" t="s">
        <v>104</v>
      </c>
      <c r="N125" s="53"/>
      <c r="O125" s="53"/>
      <c r="P125" s="53"/>
      <c r="Q125" s="53"/>
      <c r="R125" s="53"/>
      <c r="S125" s="53"/>
      <c r="T125" s="53"/>
      <c r="U125" s="53"/>
      <c r="V125" s="53"/>
      <c r="W125" s="53"/>
      <c r="X125" s="53"/>
      <c r="Y125" s="51"/>
      <c r="Z125" s="82" t="n">
        <f aca="false">IF(AQ125="5",BJ125,0)</f>
        <v>0</v>
      </c>
      <c r="AA125" s="51"/>
      <c r="AB125" s="82" t="n">
        <f aca="false">IF(AQ125="1",BH125,0)</f>
        <v>0</v>
      </c>
      <c r="AC125" s="82" t="n">
        <f aca="false">IF(AQ125="1",BI125,0)</f>
        <v>0</v>
      </c>
      <c r="AD125" s="82" t="n">
        <f aca="false">IF(AQ125="7",BH125,0)</f>
        <v>0</v>
      </c>
      <c r="AE125" s="82" t="n">
        <f aca="false">IF(AQ125="7",BI125,0)</f>
        <v>0</v>
      </c>
      <c r="AF125" s="82" t="n">
        <f aca="false">IF(AQ125="2",BH125,0)</f>
        <v>0</v>
      </c>
      <c r="AG125" s="82" t="n">
        <f aca="false">IF(AQ125="2",BI125,0)</f>
        <v>0</v>
      </c>
      <c r="AH125" s="82" t="n">
        <f aca="false">IF(AQ125="0",BJ125,0)</f>
        <v>0</v>
      </c>
      <c r="AI125" s="64" t="s">
        <v>99</v>
      </c>
      <c r="AJ125" s="82" t="n">
        <f aca="false">IF(AN125=0,L125,0)</f>
        <v>0</v>
      </c>
      <c r="AK125" s="82" t="n">
        <f aca="false">IF(AN125=15,L125,0)</f>
        <v>0</v>
      </c>
      <c r="AL125" s="82" t="n">
        <f aca="false">IF(AN125=21,L125,0)</f>
        <v>0</v>
      </c>
      <c r="AM125" s="51"/>
      <c r="AN125" s="82" t="n">
        <v>21</v>
      </c>
      <c r="AO125" s="82" t="n">
        <f aca="false">I125*0.436615384615385</f>
        <v>0</v>
      </c>
      <c r="AP125" s="82" t="n">
        <f aca="false">I125*(1-0.436615384615385)</f>
        <v>0</v>
      </c>
      <c r="AQ125" s="83" t="s">
        <v>132</v>
      </c>
      <c r="AR125" s="51"/>
      <c r="AS125" s="51"/>
      <c r="AT125" s="51"/>
      <c r="AU125" s="51"/>
      <c r="AV125" s="82" t="n">
        <f aca="false">AW125+AX125</f>
        <v>0</v>
      </c>
      <c r="AW125" s="82" t="n">
        <f aca="false">H125*AO125</f>
        <v>0</v>
      </c>
      <c r="AX125" s="82" t="n">
        <f aca="false">H125*AP125</f>
        <v>0</v>
      </c>
      <c r="AY125" s="83" t="s">
        <v>381</v>
      </c>
      <c r="AZ125" s="83" t="s">
        <v>141</v>
      </c>
      <c r="BA125" s="64" t="s">
        <v>107</v>
      </c>
      <c r="BB125" s="51"/>
      <c r="BC125" s="82" t="n">
        <f aca="false">AW125+AX125</f>
        <v>0</v>
      </c>
      <c r="BD125" s="82" t="n">
        <f aca="false">I125/(100-BE125)*100</f>
        <v>0</v>
      </c>
      <c r="BE125" s="82" t="n">
        <v>0</v>
      </c>
      <c r="BF125" s="82" t="n">
        <f aca="false">125</f>
        <v>125</v>
      </c>
      <c r="BG125" s="51"/>
      <c r="BH125" s="82" t="n">
        <f aca="false">H125*AO125</f>
        <v>0</v>
      </c>
      <c r="BI125" s="82" t="n">
        <f aca="false">H125*AP125</f>
        <v>0</v>
      </c>
      <c r="BJ125" s="82" t="n">
        <f aca="false">H125*I125</f>
        <v>0</v>
      </c>
      <c r="BK125" s="82"/>
      <c r="BL125" s="82" t="n">
        <v>725</v>
      </c>
    </row>
    <row r="126" customFormat="false" ht="15" hidden="false" customHeight="true" outlineLevel="0" collapsed="false">
      <c r="A126" s="73"/>
      <c r="B126" s="74" t="s">
        <v>412</v>
      </c>
      <c r="C126" s="74" t="s">
        <v>413</v>
      </c>
      <c r="D126" s="74"/>
      <c r="E126" s="74"/>
      <c r="F126" s="74"/>
      <c r="G126" s="75" t="s">
        <v>65</v>
      </c>
      <c r="H126" s="75" t="s">
        <v>65</v>
      </c>
      <c r="I126" s="75" t="s">
        <v>65</v>
      </c>
      <c r="J126" s="76" t="n">
        <f aca="false">SUM(J127:J129)</f>
        <v>0</v>
      </c>
      <c r="K126" s="76" t="n">
        <f aca="false">SUM(K127:K129)</f>
        <v>0</v>
      </c>
      <c r="L126" s="76" t="n">
        <f aca="false">SUM(L127:L129)</f>
        <v>0</v>
      </c>
      <c r="M126" s="77"/>
      <c r="N126" s="53"/>
      <c r="O126" s="53"/>
      <c r="P126" s="53"/>
      <c r="Q126" s="53"/>
      <c r="R126" s="53"/>
      <c r="S126" s="53"/>
      <c r="T126" s="53"/>
      <c r="U126" s="53"/>
      <c r="V126" s="53"/>
      <c r="W126" s="53"/>
      <c r="X126" s="53"/>
      <c r="Y126" s="51"/>
      <c r="Z126" s="51"/>
      <c r="AA126" s="51"/>
      <c r="AB126" s="51"/>
      <c r="AC126" s="51"/>
      <c r="AD126" s="51"/>
      <c r="AE126" s="51"/>
      <c r="AF126" s="51"/>
      <c r="AG126" s="51"/>
      <c r="AH126" s="51"/>
      <c r="AI126" s="64" t="s">
        <v>99</v>
      </c>
      <c r="AJ126" s="51"/>
      <c r="AK126" s="51"/>
      <c r="AL126" s="51"/>
      <c r="AM126" s="51"/>
      <c r="AN126" s="51"/>
      <c r="AO126" s="51"/>
      <c r="AP126" s="51"/>
      <c r="AQ126" s="51"/>
      <c r="AR126" s="51"/>
      <c r="AS126" s="54" t="n">
        <f aca="false">SUM(AJ127:AJ129)</f>
        <v>0</v>
      </c>
      <c r="AT126" s="54" t="n">
        <f aca="false">SUM(AK127:AK129)</f>
        <v>0</v>
      </c>
      <c r="AU126" s="54" t="n">
        <f aca="false">SUM(AL127:AL129)</f>
        <v>0</v>
      </c>
      <c r="AV126" s="51"/>
      <c r="AW126" s="51"/>
      <c r="AX126" s="51"/>
      <c r="AY126" s="51"/>
      <c r="AZ126" s="51"/>
      <c r="BA126" s="51"/>
      <c r="BB126" s="51"/>
      <c r="BC126" s="51"/>
      <c r="BD126" s="51"/>
      <c r="BE126" s="51"/>
      <c r="BF126" s="51"/>
      <c r="BG126" s="51"/>
      <c r="BH126" s="51"/>
      <c r="BI126" s="51"/>
      <c r="BJ126" s="51"/>
      <c r="BK126" s="51"/>
      <c r="BL126" s="51"/>
    </row>
    <row r="127" customFormat="false" ht="15" hidden="false" customHeight="true" outlineLevel="0" collapsed="false">
      <c r="A127" s="78" t="s">
        <v>414</v>
      </c>
      <c r="B127" s="14" t="s">
        <v>415</v>
      </c>
      <c r="C127" s="14" t="s">
        <v>416</v>
      </c>
      <c r="D127" s="14"/>
      <c r="E127" s="14"/>
      <c r="F127" s="14"/>
      <c r="G127" s="14" t="s">
        <v>124</v>
      </c>
      <c r="H127" s="79" t="n">
        <v>64.5</v>
      </c>
      <c r="I127" s="80" t="n">
        <v>0</v>
      </c>
      <c r="J127" s="79" t="n">
        <f aca="false">H127*AO127</f>
        <v>0</v>
      </c>
      <c r="K127" s="79" t="n">
        <f aca="false">H127*AP127</f>
        <v>0</v>
      </c>
      <c r="L127" s="79" t="n">
        <f aca="false">H127*I127</f>
        <v>0</v>
      </c>
      <c r="M127" s="81" t="s">
        <v>104</v>
      </c>
      <c r="N127" s="53"/>
      <c r="O127" s="53"/>
      <c r="P127" s="53"/>
      <c r="Q127" s="53"/>
      <c r="R127" s="53"/>
      <c r="S127" s="53"/>
      <c r="T127" s="53"/>
      <c r="U127" s="53"/>
      <c r="V127" s="53"/>
      <c r="W127" s="53"/>
      <c r="X127" s="53"/>
      <c r="Y127" s="51"/>
      <c r="Z127" s="82" t="n">
        <f aca="false">IF(AQ127="5",BJ127,0)</f>
        <v>0</v>
      </c>
      <c r="AA127" s="51"/>
      <c r="AB127" s="82" t="n">
        <f aca="false">IF(AQ127="1",BH127,0)</f>
        <v>0</v>
      </c>
      <c r="AC127" s="82" t="n">
        <f aca="false">IF(AQ127="1",BI127,0)</f>
        <v>0</v>
      </c>
      <c r="AD127" s="82" t="n">
        <f aca="false">IF(AQ127="7",BH127,0)</f>
        <v>0</v>
      </c>
      <c r="AE127" s="82" t="n">
        <f aca="false">IF(AQ127="7",BI127,0)</f>
        <v>0</v>
      </c>
      <c r="AF127" s="82" t="n">
        <f aca="false">IF(AQ127="2",BH127,0)</f>
        <v>0</v>
      </c>
      <c r="AG127" s="82" t="n">
        <f aca="false">IF(AQ127="2",BI127,0)</f>
        <v>0</v>
      </c>
      <c r="AH127" s="82" t="n">
        <f aca="false">IF(AQ127="0",BJ127,0)</f>
        <v>0</v>
      </c>
      <c r="AI127" s="64" t="s">
        <v>99</v>
      </c>
      <c r="AJ127" s="82" t="n">
        <f aca="false">IF(AN127=0,L127,0)</f>
        <v>0</v>
      </c>
      <c r="AK127" s="82" t="n">
        <f aca="false">IF(AN127=15,L127,0)</f>
        <v>0</v>
      </c>
      <c r="AL127" s="82" t="n">
        <f aca="false">IF(AN127=21,L127,0)</f>
        <v>0</v>
      </c>
      <c r="AM127" s="51"/>
      <c r="AN127" s="82" t="n">
        <v>21</v>
      </c>
      <c r="AO127" s="82" t="n">
        <f aca="false">I127*0.0214574898785425</f>
        <v>0</v>
      </c>
      <c r="AP127" s="82" t="n">
        <f aca="false">I127*(1-0.0214574898785425)</f>
        <v>0</v>
      </c>
      <c r="AQ127" s="83" t="s">
        <v>132</v>
      </c>
      <c r="AR127" s="51"/>
      <c r="AS127" s="51"/>
      <c r="AT127" s="51"/>
      <c r="AU127" s="51"/>
      <c r="AV127" s="82" t="n">
        <f aca="false">AW127+AX127</f>
        <v>0</v>
      </c>
      <c r="AW127" s="82" t="n">
        <f aca="false">H127*AO127</f>
        <v>0</v>
      </c>
      <c r="AX127" s="82" t="n">
        <f aca="false">H127*AP127</f>
        <v>0</v>
      </c>
      <c r="AY127" s="83" t="s">
        <v>417</v>
      </c>
      <c r="AZ127" s="83" t="s">
        <v>418</v>
      </c>
      <c r="BA127" s="64" t="s">
        <v>107</v>
      </c>
      <c r="BB127" s="51"/>
      <c r="BC127" s="82" t="n">
        <f aca="false">AW127+AX127</f>
        <v>0</v>
      </c>
      <c r="BD127" s="82" t="n">
        <f aca="false">I127/(100-BE127)*100</f>
        <v>0</v>
      </c>
      <c r="BE127" s="82" t="n">
        <v>0</v>
      </c>
      <c r="BF127" s="82" t="n">
        <f aca="false">127</f>
        <v>127</v>
      </c>
      <c r="BG127" s="51"/>
      <c r="BH127" s="82" t="n">
        <f aca="false">H127*AO127</f>
        <v>0</v>
      </c>
      <c r="BI127" s="82" t="n">
        <f aca="false">H127*AP127</f>
        <v>0</v>
      </c>
      <c r="BJ127" s="82" t="n">
        <f aca="false">H127*I127</f>
        <v>0</v>
      </c>
      <c r="BK127" s="82"/>
      <c r="BL127" s="82" t="n">
        <v>733</v>
      </c>
    </row>
    <row r="128" customFormat="false" ht="15" hidden="false" customHeight="true" outlineLevel="0" collapsed="false">
      <c r="A128" s="78" t="s">
        <v>419</v>
      </c>
      <c r="B128" s="14" t="s">
        <v>420</v>
      </c>
      <c r="C128" s="14" t="s">
        <v>421</v>
      </c>
      <c r="D128" s="14"/>
      <c r="E128" s="14"/>
      <c r="F128" s="14"/>
      <c r="G128" s="14" t="s">
        <v>124</v>
      </c>
      <c r="H128" s="79" t="n">
        <v>60.7</v>
      </c>
      <c r="I128" s="80" t="n">
        <v>0</v>
      </c>
      <c r="J128" s="79" t="n">
        <f aca="false">H128*AO128</f>
        <v>0</v>
      </c>
      <c r="K128" s="79" t="n">
        <f aca="false">H128*AP128</f>
        <v>0</v>
      </c>
      <c r="L128" s="79" t="n">
        <f aca="false">H128*I128</f>
        <v>0</v>
      </c>
      <c r="M128" s="81" t="s">
        <v>104</v>
      </c>
      <c r="N128" s="53"/>
      <c r="O128" s="53"/>
      <c r="P128" s="53"/>
      <c r="Q128" s="53"/>
      <c r="R128" s="53"/>
      <c r="S128" s="53"/>
      <c r="T128" s="53"/>
      <c r="U128" s="53"/>
      <c r="V128" s="53"/>
      <c r="W128" s="53"/>
      <c r="X128" s="53"/>
      <c r="Y128" s="51"/>
      <c r="Z128" s="82" t="n">
        <f aca="false">IF(AQ128="5",BJ128,0)</f>
        <v>0</v>
      </c>
      <c r="AA128" s="51"/>
      <c r="AB128" s="82" t="n">
        <f aca="false">IF(AQ128="1",BH128,0)</f>
        <v>0</v>
      </c>
      <c r="AC128" s="82" t="n">
        <f aca="false">IF(AQ128="1",BI128,0)</f>
        <v>0</v>
      </c>
      <c r="AD128" s="82" t="n">
        <f aca="false">IF(AQ128="7",BH128,0)</f>
        <v>0</v>
      </c>
      <c r="AE128" s="82" t="n">
        <f aca="false">IF(AQ128="7",BI128,0)</f>
        <v>0</v>
      </c>
      <c r="AF128" s="82" t="n">
        <f aca="false">IF(AQ128="2",BH128,0)</f>
        <v>0</v>
      </c>
      <c r="AG128" s="82" t="n">
        <f aca="false">IF(AQ128="2",BI128,0)</f>
        <v>0</v>
      </c>
      <c r="AH128" s="82" t="n">
        <f aca="false">IF(AQ128="0",BJ128,0)</f>
        <v>0</v>
      </c>
      <c r="AI128" s="64" t="s">
        <v>99</v>
      </c>
      <c r="AJ128" s="82" t="n">
        <f aca="false">IF(AN128=0,L128,0)</f>
        <v>0</v>
      </c>
      <c r="AK128" s="82" t="n">
        <f aca="false">IF(AN128=15,L128,0)</f>
        <v>0</v>
      </c>
      <c r="AL128" s="82" t="n">
        <f aca="false">IF(AN128=21,L128,0)</f>
        <v>0</v>
      </c>
      <c r="AM128" s="51"/>
      <c r="AN128" s="82" t="n">
        <v>21</v>
      </c>
      <c r="AO128" s="82" t="n">
        <f aca="false">I128*0.023728813559322</f>
        <v>0</v>
      </c>
      <c r="AP128" s="82" t="n">
        <f aca="false">I128*(1-0.023728813559322)</f>
        <v>0</v>
      </c>
      <c r="AQ128" s="83" t="s">
        <v>132</v>
      </c>
      <c r="AR128" s="51"/>
      <c r="AS128" s="51"/>
      <c r="AT128" s="51"/>
      <c r="AU128" s="51"/>
      <c r="AV128" s="82" t="n">
        <f aca="false">AW128+AX128</f>
        <v>0</v>
      </c>
      <c r="AW128" s="82" t="n">
        <f aca="false">H128*AO128</f>
        <v>0</v>
      </c>
      <c r="AX128" s="82" t="n">
        <f aca="false">H128*AP128</f>
        <v>0</v>
      </c>
      <c r="AY128" s="83" t="s">
        <v>417</v>
      </c>
      <c r="AZ128" s="83" t="s">
        <v>418</v>
      </c>
      <c r="BA128" s="64" t="s">
        <v>107</v>
      </c>
      <c r="BB128" s="51"/>
      <c r="BC128" s="82" t="n">
        <f aca="false">AW128+AX128</f>
        <v>0</v>
      </c>
      <c r="BD128" s="82" t="n">
        <f aca="false">I128/(100-BE128)*100</f>
        <v>0</v>
      </c>
      <c r="BE128" s="82" t="n">
        <v>0</v>
      </c>
      <c r="BF128" s="82" t="n">
        <f aca="false">128</f>
        <v>128</v>
      </c>
      <c r="BG128" s="51"/>
      <c r="BH128" s="82" t="n">
        <f aca="false">H128*AO128</f>
        <v>0</v>
      </c>
      <c r="BI128" s="82" t="n">
        <f aca="false">H128*AP128</f>
        <v>0</v>
      </c>
      <c r="BJ128" s="82" t="n">
        <f aca="false">H128*I128</f>
        <v>0</v>
      </c>
      <c r="BK128" s="82"/>
      <c r="BL128" s="82" t="n">
        <v>733</v>
      </c>
    </row>
    <row r="129" customFormat="false" ht="15" hidden="false" customHeight="true" outlineLevel="0" collapsed="false">
      <c r="A129" s="78" t="s">
        <v>422</v>
      </c>
      <c r="B129" s="14" t="s">
        <v>423</v>
      </c>
      <c r="C129" s="14" t="s">
        <v>424</v>
      </c>
      <c r="D129" s="14"/>
      <c r="E129" s="14"/>
      <c r="F129" s="14"/>
      <c r="G129" s="14" t="s">
        <v>124</v>
      </c>
      <c r="H129" s="79" t="n">
        <v>669.2</v>
      </c>
      <c r="I129" s="80" t="n">
        <v>0</v>
      </c>
      <c r="J129" s="79" t="n">
        <f aca="false">H129*AO129</f>
        <v>0</v>
      </c>
      <c r="K129" s="79" t="n">
        <f aca="false">H129*AP129</f>
        <v>0</v>
      </c>
      <c r="L129" s="79" t="n">
        <f aca="false">H129*I129</f>
        <v>0</v>
      </c>
      <c r="M129" s="81" t="s">
        <v>104</v>
      </c>
      <c r="N129" s="53"/>
      <c r="O129" s="53"/>
      <c r="P129" s="53"/>
      <c r="Q129" s="53"/>
      <c r="R129" s="53"/>
      <c r="S129" s="53"/>
      <c r="T129" s="53"/>
      <c r="U129" s="53"/>
      <c r="V129" s="53"/>
      <c r="W129" s="53"/>
      <c r="X129" s="53"/>
      <c r="Y129" s="51"/>
      <c r="Z129" s="82" t="n">
        <f aca="false">IF(AQ129="5",BJ129,0)</f>
        <v>0</v>
      </c>
      <c r="AA129" s="51"/>
      <c r="AB129" s="82" t="n">
        <f aca="false">IF(AQ129="1",BH129,0)</f>
        <v>0</v>
      </c>
      <c r="AC129" s="82" t="n">
        <f aca="false">IF(AQ129="1",BI129,0)</f>
        <v>0</v>
      </c>
      <c r="AD129" s="82" t="n">
        <f aca="false">IF(AQ129="7",BH129,0)</f>
        <v>0</v>
      </c>
      <c r="AE129" s="82" t="n">
        <f aca="false">IF(AQ129="7",BI129,0)</f>
        <v>0</v>
      </c>
      <c r="AF129" s="82" t="n">
        <f aca="false">IF(AQ129="2",BH129,0)</f>
        <v>0</v>
      </c>
      <c r="AG129" s="82" t="n">
        <f aca="false">IF(AQ129="2",BI129,0)</f>
        <v>0</v>
      </c>
      <c r="AH129" s="82" t="n">
        <f aca="false">IF(AQ129="0",BJ129,0)</f>
        <v>0</v>
      </c>
      <c r="AI129" s="64" t="s">
        <v>99</v>
      </c>
      <c r="AJ129" s="82" t="n">
        <f aca="false">IF(AN129=0,L129,0)</f>
        <v>0</v>
      </c>
      <c r="AK129" s="82" t="n">
        <f aca="false">IF(AN129=15,L129,0)</f>
        <v>0</v>
      </c>
      <c r="AL129" s="82" t="n">
        <f aca="false">IF(AN129=21,L129,0)</f>
        <v>0</v>
      </c>
      <c r="AM129" s="51"/>
      <c r="AN129" s="82" t="n">
        <v>21</v>
      </c>
      <c r="AO129" s="82" t="n">
        <f aca="false">I129*0.022794839630759</f>
        <v>0</v>
      </c>
      <c r="AP129" s="82" t="n">
        <f aca="false">I129*(1-0.022794839630759)</f>
        <v>0</v>
      </c>
      <c r="AQ129" s="83" t="s">
        <v>132</v>
      </c>
      <c r="AR129" s="51"/>
      <c r="AS129" s="51"/>
      <c r="AT129" s="51"/>
      <c r="AU129" s="51"/>
      <c r="AV129" s="82" t="n">
        <f aca="false">AW129+AX129</f>
        <v>0</v>
      </c>
      <c r="AW129" s="82" t="n">
        <f aca="false">H129*AO129</f>
        <v>0</v>
      </c>
      <c r="AX129" s="82" t="n">
        <f aca="false">H129*AP129</f>
        <v>0</v>
      </c>
      <c r="AY129" s="83" t="s">
        <v>417</v>
      </c>
      <c r="AZ129" s="83" t="s">
        <v>418</v>
      </c>
      <c r="BA129" s="64" t="s">
        <v>107</v>
      </c>
      <c r="BB129" s="51"/>
      <c r="BC129" s="82" t="n">
        <f aca="false">AW129+AX129</f>
        <v>0</v>
      </c>
      <c r="BD129" s="82" t="n">
        <f aca="false">I129/(100-BE129)*100</f>
        <v>0</v>
      </c>
      <c r="BE129" s="82" t="n">
        <v>0</v>
      </c>
      <c r="BF129" s="82" t="n">
        <f aca="false">129</f>
        <v>129</v>
      </c>
      <c r="BG129" s="51"/>
      <c r="BH129" s="82" t="n">
        <f aca="false">H129*AO129</f>
        <v>0</v>
      </c>
      <c r="BI129" s="82" t="n">
        <f aca="false">H129*AP129</f>
        <v>0</v>
      </c>
      <c r="BJ129" s="82" t="n">
        <f aca="false">H129*I129</f>
        <v>0</v>
      </c>
      <c r="BK129" s="82"/>
      <c r="BL129" s="82" t="n">
        <v>733</v>
      </c>
    </row>
    <row r="130" customFormat="false" ht="15" hidden="false" customHeight="true" outlineLevel="0" collapsed="false">
      <c r="A130" s="73"/>
      <c r="B130" s="74" t="s">
        <v>425</v>
      </c>
      <c r="C130" s="74" t="s">
        <v>426</v>
      </c>
      <c r="D130" s="74"/>
      <c r="E130" s="74"/>
      <c r="F130" s="74"/>
      <c r="G130" s="75" t="s">
        <v>65</v>
      </c>
      <c r="H130" s="75" t="s">
        <v>65</v>
      </c>
      <c r="I130" s="75" t="s">
        <v>65</v>
      </c>
      <c r="J130" s="76" t="n">
        <f aca="false">SUM(J131:J132)</f>
        <v>0</v>
      </c>
      <c r="K130" s="76" t="n">
        <f aca="false">SUM(K131:K132)</f>
        <v>0</v>
      </c>
      <c r="L130" s="76" t="n">
        <f aca="false">SUM(L131:L132)</f>
        <v>0</v>
      </c>
      <c r="M130" s="77"/>
      <c r="N130" s="53"/>
      <c r="O130" s="53"/>
      <c r="P130" s="53"/>
      <c r="Q130" s="53"/>
      <c r="R130" s="53"/>
      <c r="S130" s="53"/>
      <c r="T130" s="53"/>
      <c r="U130" s="53"/>
      <c r="V130" s="53"/>
      <c r="W130" s="53"/>
      <c r="X130" s="53"/>
      <c r="Y130" s="51"/>
      <c r="Z130" s="51"/>
      <c r="AA130" s="51"/>
      <c r="AB130" s="51"/>
      <c r="AC130" s="51"/>
      <c r="AD130" s="51"/>
      <c r="AE130" s="51"/>
      <c r="AF130" s="51"/>
      <c r="AG130" s="51"/>
      <c r="AH130" s="51"/>
      <c r="AI130" s="64" t="s">
        <v>99</v>
      </c>
      <c r="AJ130" s="51"/>
      <c r="AK130" s="51"/>
      <c r="AL130" s="51"/>
      <c r="AM130" s="51"/>
      <c r="AN130" s="51"/>
      <c r="AO130" s="51"/>
      <c r="AP130" s="51"/>
      <c r="AQ130" s="51"/>
      <c r="AR130" s="51"/>
      <c r="AS130" s="54" t="n">
        <f aca="false">SUM(AJ131:AJ132)</f>
        <v>0</v>
      </c>
      <c r="AT130" s="54" t="n">
        <f aca="false">SUM(AK131:AK132)</f>
        <v>0</v>
      </c>
      <c r="AU130" s="54" t="n">
        <f aca="false">SUM(AL131:AL132)</f>
        <v>0</v>
      </c>
      <c r="AV130" s="51"/>
      <c r="AW130" s="51"/>
      <c r="AX130" s="51"/>
      <c r="AY130" s="51"/>
      <c r="AZ130" s="51"/>
      <c r="BA130" s="51"/>
      <c r="BB130" s="51"/>
      <c r="BC130" s="51"/>
      <c r="BD130" s="51"/>
      <c r="BE130" s="51"/>
      <c r="BF130" s="51"/>
      <c r="BG130" s="51"/>
      <c r="BH130" s="51"/>
      <c r="BI130" s="51"/>
      <c r="BJ130" s="51"/>
      <c r="BK130" s="51"/>
      <c r="BL130" s="51"/>
    </row>
    <row r="131" customFormat="false" ht="15" hidden="false" customHeight="true" outlineLevel="0" collapsed="false">
      <c r="A131" s="78" t="s">
        <v>427</v>
      </c>
      <c r="B131" s="14" t="s">
        <v>428</v>
      </c>
      <c r="C131" s="14" t="s">
        <v>429</v>
      </c>
      <c r="D131" s="14"/>
      <c r="E131" s="14"/>
      <c r="F131" s="14"/>
      <c r="G131" s="14" t="s">
        <v>103</v>
      </c>
      <c r="H131" s="79" t="n">
        <v>147</v>
      </c>
      <c r="I131" s="80" t="n">
        <v>0</v>
      </c>
      <c r="J131" s="79" t="n">
        <f aca="false">H131*AO131</f>
        <v>0</v>
      </c>
      <c r="K131" s="79" t="n">
        <f aca="false">H131*AP131</f>
        <v>0</v>
      </c>
      <c r="L131" s="79" t="n">
        <f aca="false">H131*I131</f>
        <v>0</v>
      </c>
      <c r="M131" s="81" t="s">
        <v>104</v>
      </c>
      <c r="N131" s="53"/>
      <c r="O131" s="53"/>
      <c r="P131" s="53"/>
      <c r="Q131" s="53"/>
      <c r="R131" s="53"/>
      <c r="S131" s="53"/>
      <c r="T131" s="53"/>
      <c r="U131" s="53"/>
      <c r="V131" s="53"/>
      <c r="W131" s="53"/>
      <c r="X131" s="53"/>
      <c r="Y131" s="51"/>
      <c r="Z131" s="82" t="n">
        <f aca="false">IF(AQ131="5",BJ131,0)</f>
        <v>0</v>
      </c>
      <c r="AA131" s="51"/>
      <c r="AB131" s="82" t="n">
        <f aca="false">IF(AQ131="1",BH131,0)</f>
        <v>0</v>
      </c>
      <c r="AC131" s="82" t="n">
        <f aca="false">IF(AQ131="1",BI131,0)</f>
        <v>0</v>
      </c>
      <c r="AD131" s="82" t="n">
        <f aca="false">IF(AQ131="7",BH131,0)</f>
        <v>0</v>
      </c>
      <c r="AE131" s="82" t="n">
        <f aca="false">IF(AQ131="7",BI131,0)</f>
        <v>0</v>
      </c>
      <c r="AF131" s="82" t="n">
        <f aca="false">IF(AQ131="2",BH131,0)</f>
        <v>0</v>
      </c>
      <c r="AG131" s="82" t="n">
        <f aca="false">IF(AQ131="2",BI131,0)</f>
        <v>0</v>
      </c>
      <c r="AH131" s="82" t="n">
        <f aca="false">IF(AQ131="0",BJ131,0)</f>
        <v>0</v>
      </c>
      <c r="AI131" s="64" t="s">
        <v>99</v>
      </c>
      <c r="AJ131" s="82" t="n">
        <f aca="false">IF(AN131=0,L131,0)</f>
        <v>0</v>
      </c>
      <c r="AK131" s="82" t="n">
        <f aca="false">IF(AN131=15,L131,0)</f>
        <v>0</v>
      </c>
      <c r="AL131" s="82" t="n">
        <f aca="false">IF(AN131=21,L131,0)</f>
        <v>0</v>
      </c>
      <c r="AM131" s="51"/>
      <c r="AN131" s="82" t="n">
        <v>21</v>
      </c>
      <c r="AO131" s="82" t="n">
        <f aca="false">I131*0.479632816982215</f>
        <v>0</v>
      </c>
      <c r="AP131" s="82" t="n">
        <f aca="false">I131*(1-0.479632816982215)</f>
        <v>0</v>
      </c>
      <c r="AQ131" s="83" t="s">
        <v>132</v>
      </c>
      <c r="AR131" s="51"/>
      <c r="AS131" s="51"/>
      <c r="AT131" s="51"/>
      <c r="AU131" s="51"/>
      <c r="AV131" s="82" t="n">
        <f aca="false">AW131+AX131</f>
        <v>0</v>
      </c>
      <c r="AW131" s="82" t="n">
        <f aca="false">H131*AO131</f>
        <v>0</v>
      </c>
      <c r="AX131" s="82" t="n">
        <f aca="false">H131*AP131</f>
        <v>0</v>
      </c>
      <c r="AY131" s="83" t="s">
        <v>430</v>
      </c>
      <c r="AZ131" s="83" t="s">
        <v>431</v>
      </c>
      <c r="BA131" s="64" t="s">
        <v>107</v>
      </c>
      <c r="BB131" s="51"/>
      <c r="BC131" s="82" t="n">
        <f aca="false">AW131+AX131</f>
        <v>0</v>
      </c>
      <c r="BD131" s="82" t="n">
        <f aca="false">I131/(100-BE131)*100</f>
        <v>0</v>
      </c>
      <c r="BE131" s="82" t="n">
        <v>0</v>
      </c>
      <c r="BF131" s="82" t="n">
        <f aca="false">131</f>
        <v>131</v>
      </c>
      <c r="BG131" s="51"/>
      <c r="BH131" s="82" t="n">
        <f aca="false">H131*AO131</f>
        <v>0</v>
      </c>
      <c r="BI131" s="82" t="n">
        <f aca="false">H131*AP131</f>
        <v>0</v>
      </c>
      <c r="BJ131" s="82" t="n">
        <f aca="false">H131*I131</f>
        <v>0</v>
      </c>
      <c r="BK131" s="82"/>
      <c r="BL131" s="82" t="n">
        <v>781</v>
      </c>
    </row>
    <row r="132" customFormat="false" ht="15" hidden="false" customHeight="true" outlineLevel="0" collapsed="false">
      <c r="A132" s="78" t="s">
        <v>432</v>
      </c>
      <c r="B132" s="14" t="s">
        <v>433</v>
      </c>
      <c r="C132" s="14" t="s">
        <v>434</v>
      </c>
      <c r="D132" s="14"/>
      <c r="E132" s="14"/>
      <c r="F132" s="14"/>
      <c r="G132" s="14" t="s">
        <v>103</v>
      </c>
      <c r="H132" s="79" t="n">
        <v>147</v>
      </c>
      <c r="I132" s="80" t="n">
        <v>0</v>
      </c>
      <c r="J132" s="79" t="n">
        <f aca="false">H132*AO132</f>
        <v>0</v>
      </c>
      <c r="K132" s="79" t="n">
        <f aca="false">H132*AP132</f>
        <v>0</v>
      </c>
      <c r="L132" s="79" t="n">
        <f aca="false">H132*I132</f>
        <v>0</v>
      </c>
      <c r="M132" s="81" t="s">
        <v>104</v>
      </c>
      <c r="N132" s="53"/>
      <c r="O132" s="53"/>
      <c r="P132" s="53"/>
      <c r="Q132" s="53"/>
      <c r="R132" s="53"/>
      <c r="S132" s="53"/>
      <c r="T132" s="53"/>
      <c r="U132" s="53"/>
      <c r="V132" s="53"/>
      <c r="W132" s="53"/>
      <c r="X132" s="53"/>
      <c r="Y132" s="51"/>
      <c r="Z132" s="82" t="n">
        <f aca="false">IF(AQ132="5",BJ132,0)</f>
        <v>0</v>
      </c>
      <c r="AA132" s="51"/>
      <c r="AB132" s="82" t="n">
        <f aca="false">IF(AQ132="1",BH132,0)</f>
        <v>0</v>
      </c>
      <c r="AC132" s="82" t="n">
        <f aca="false">IF(AQ132="1",BI132,0)</f>
        <v>0</v>
      </c>
      <c r="AD132" s="82" t="n">
        <f aca="false">IF(AQ132="7",BH132,0)</f>
        <v>0</v>
      </c>
      <c r="AE132" s="82" t="n">
        <f aca="false">IF(AQ132="7",BI132,0)</f>
        <v>0</v>
      </c>
      <c r="AF132" s="82" t="n">
        <f aca="false">IF(AQ132="2",BH132,0)</f>
        <v>0</v>
      </c>
      <c r="AG132" s="82" t="n">
        <f aca="false">IF(AQ132="2",BI132,0)</f>
        <v>0</v>
      </c>
      <c r="AH132" s="82" t="n">
        <f aca="false">IF(AQ132="0",BJ132,0)</f>
        <v>0</v>
      </c>
      <c r="AI132" s="64" t="s">
        <v>99</v>
      </c>
      <c r="AJ132" s="82" t="n">
        <f aca="false">IF(AN132=0,L132,0)</f>
        <v>0</v>
      </c>
      <c r="AK132" s="82" t="n">
        <f aca="false">IF(AN132=15,L132,0)</f>
        <v>0</v>
      </c>
      <c r="AL132" s="82" t="n">
        <f aca="false">IF(AN132=21,L132,0)</f>
        <v>0</v>
      </c>
      <c r="AM132" s="51"/>
      <c r="AN132" s="82" t="n">
        <v>21</v>
      </c>
      <c r="AO132" s="82" t="n">
        <f aca="false">I132*0.172626404494382</f>
        <v>0</v>
      </c>
      <c r="AP132" s="82" t="n">
        <f aca="false">I132*(1-0.172626404494382)</f>
        <v>0</v>
      </c>
      <c r="AQ132" s="83" t="s">
        <v>132</v>
      </c>
      <c r="AR132" s="51"/>
      <c r="AS132" s="51"/>
      <c r="AT132" s="51"/>
      <c r="AU132" s="51"/>
      <c r="AV132" s="82" t="n">
        <f aca="false">AW132+AX132</f>
        <v>0</v>
      </c>
      <c r="AW132" s="82" t="n">
        <f aca="false">H132*AO132</f>
        <v>0</v>
      </c>
      <c r="AX132" s="82" t="n">
        <f aca="false">H132*AP132</f>
        <v>0</v>
      </c>
      <c r="AY132" s="83" t="s">
        <v>430</v>
      </c>
      <c r="AZ132" s="83" t="s">
        <v>431</v>
      </c>
      <c r="BA132" s="64" t="s">
        <v>107</v>
      </c>
      <c r="BB132" s="51"/>
      <c r="BC132" s="82" t="n">
        <f aca="false">AW132+AX132</f>
        <v>0</v>
      </c>
      <c r="BD132" s="82" t="n">
        <f aca="false">I132/(100-BE132)*100</f>
        <v>0</v>
      </c>
      <c r="BE132" s="82" t="n">
        <v>0</v>
      </c>
      <c r="BF132" s="82" t="n">
        <f aca="false">132</f>
        <v>132</v>
      </c>
      <c r="BG132" s="51"/>
      <c r="BH132" s="82" t="n">
        <f aca="false">H132*AO132</f>
        <v>0</v>
      </c>
      <c r="BI132" s="82" t="n">
        <f aca="false">H132*AP132</f>
        <v>0</v>
      </c>
      <c r="BJ132" s="82" t="n">
        <f aca="false">H132*I132</f>
        <v>0</v>
      </c>
      <c r="BK132" s="82"/>
      <c r="BL132" s="82" t="n">
        <v>781</v>
      </c>
    </row>
    <row r="133" customFormat="false" ht="15" hidden="false" customHeight="true" outlineLevel="0" collapsed="false">
      <c r="A133" s="73"/>
      <c r="B133" s="74" t="s">
        <v>354</v>
      </c>
      <c r="C133" s="74" t="s">
        <v>435</v>
      </c>
      <c r="D133" s="74"/>
      <c r="E133" s="74"/>
      <c r="F133" s="74"/>
      <c r="G133" s="75" t="s">
        <v>65</v>
      </c>
      <c r="H133" s="75" t="s">
        <v>65</v>
      </c>
      <c r="I133" s="75" t="s">
        <v>65</v>
      </c>
      <c r="J133" s="76" t="n">
        <f aca="false">SUM(J134:J134)</f>
        <v>0</v>
      </c>
      <c r="K133" s="76" t="n">
        <f aca="false">SUM(K134:K134)</f>
        <v>0</v>
      </c>
      <c r="L133" s="76" t="n">
        <f aca="false">SUM(L134:L134)</f>
        <v>0</v>
      </c>
      <c r="M133" s="77"/>
      <c r="N133" s="53"/>
      <c r="O133" s="53"/>
      <c r="P133" s="53"/>
      <c r="Q133" s="53"/>
      <c r="R133" s="53"/>
      <c r="S133" s="53"/>
      <c r="T133" s="53"/>
      <c r="U133" s="53"/>
      <c r="V133" s="53"/>
      <c r="W133" s="53"/>
      <c r="X133" s="53"/>
      <c r="Y133" s="51"/>
      <c r="Z133" s="51"/>
      <c r="AA133" s="51"/>
      <c r="AB133" s="51"/>
      <c r="AC133" s="51"/>
      <c r="AD133" s="51"/>
      <c r="AE133" s="51"/>
      <c r="AF133" s="51"/>
      <c r="AG133" s="51"/>
      <c r="AH133" s="51"/>
      <c r="AI133" s="64" t="s">
        <v>99</v>
      </c>
      <c r="AJ133" s="51"/>
      <c r="AK133" s="51"/>
      <c r="AL133" s="51"/>
      <c r="AM133" s="51"/>
      <c r="AN133" s="51"/>
      <c r="AO133" s="51"/>
      <c r="AP133" s="51"/>
      <c r="AQ133" s="51"/>
      <c r="AR133" s="51"/>
      <c r="AS133" s="54" t="n">
        <f aca="false">SUM(AJ134:AJ134)</f>
        <v>0</v>
      </c>
      <c r="AT133" s="54" t="n">
        <f aca="false">SUM(AK134:AK134)</f>
        <v>0</v>
      </c>
      <c r="AU133" s="54" t="n">
        <f aca="false">SUM(AL134:AL134)</f>
        <v>0</v>
      </c>
      <c r="AV133" s="51"/>
      <c r="AW133" s="51"/>
      <c r="AX133" s="51"/>
      <c r="AY133" s="51"/>
      <c r="AZ133" s="51"/>
      <c r="BA133" s="51"/>
      <c r="BB133" s="51"/>
      <c r="BC133" s="51"/>
      <c r="BD133" s="51"/>
      <c r="BE133" s="51"/>
      <c r="BF133" s="51"/>
      <c r="BG133" s="51"/>
      <c r="BH133" s="51"/>
      <c r="BI133" s="51"/>
      <c r="BJ133" s="51"/>
      <c r="BK133" s="51"/>
      <c r="BL133" s="51"/>
    </row>
    <row r="134" customFormat="false" ht="15" hidden="false" customHeight="true" outlineLevel="0" collapsed="false">
      <c r="A134" s="78" t="s">
        <v>436</v>
      </c>
      <c r="B134" s="14" t="s">
        <v>437</v>
      </c>
      <c r="C134" s="14" t="s">
        <v>438</v>
      </c>
      <c r="D134" s="14"/>
      <c r="E134" s="14"/>
      <c r="F134" s="14"/>
      <c r="G134" s="14" t="s">
        <v>124</v>
      </c>
      <c r="H134" s="79" t="n">
        <v>204</v>
      </c>
      <c r="I134" s="80" t="n">
        <v>0</v>
      </c>
      <c r="J134" s="79" t="n">
        <f aca="false">H134*AO134</f>
        <v>0</v>
      </c>
      <c r="K134" s="79" t="n">
        <f aca="false">H134*AP134</f>
        <v>0</v>
      </c>
      <c r="L134" s="79" t="n">
        <f aca="false">H134*I134</f>
        <v>0</v>
      </c>
      <c r="M134" s="81" t="s">
        <v>104</v>
      </c>
      <c r="N134" s="53"/>
      <c r="O134" s="53"/>
      <c r="P134" s="53"/>
      <c r="Q134" s="53"/>
      <c r="R134" s="53"/>
      <c r="S134" s="53"/>
      <c r="T134" s="53"/>
      <c r="U134" s="53"/>
      <c r="V134" s="53"/>
      <c r="W134" s="53"/>
      <c r="X134" s="53"/>
      <c r="Y134" s="51"/>
      <c r="Z134" s="82" t="n">
        <f aca="false">IF(AQ134="5",BJ134,0)</f>
        <v>0</v>
      </c>
      <c r="AA134" s="51"/>
      <c r="AB134" s="82" t="n">
        <f aca="false">IF(AQ134="1",BH134,0)</f>
        <v>0</v>
      </c>
      <c r="AC134" s="82" t="n">
        <f aca="false">IF(AQ134="1",BI134,0)</f>
        <v>0</v>
      </c>
      <c r="AD134" s="82" t="n">
        <f aca="false">IF(AQ134="7",BH134,0)</f>
        <v>0</v>
      </c>
      <c r="AE134" s="82" t="n">
        <f aca="false">IF(AQ134="7",BI134,0)</f>
        <v>0</v>
      </c>
      <c r="AF134" s="82" t="n">
        <f aca="false">IF(AQ134="2",BH134,0)</f>
        <v>0</v>
      </c>
      <c r="AG134" s="82" t="n">
        <f aca="false">IF(AQ134="2",BI134,0)</f>
        <v>0</v>
      </c>
      <c r="AH134" s="82" t="n">
        <f aca="false">IF(AQ134="0",BJ134,0)</f>
        <v>0</v>
      </c>
      <c r="AI134" s="64" t="s">
        <v>99</v>
      </c>
      <c r="AJ134" s="82" t="n">
        <f aca="false">IF(AN134=0,L134,0)</f>
        <v>0</v>
      </c>
      <c r="AK134" s="82" t="n">
        <f aca="false">IF(AN134=15,L134,0)</f>
        <v>0</v>
      </c>
      <c r="AL134" s="82" t="n">
        <f aca="false">IF(AN134=21,L134,0)</f>
        <v>0</v>
      </c>
      <c r="AM134" s="51"/>
      <c r="AN134" s="82" t="n">
        <v>21</v>
      </c>
      <c r="AO134" s="82" t="n">
        <f aca="false">I134*0.0239934932899553</f>
        <v>0</v>
      </c>
      <c r="AP134" s="82" t="n">
        <f aca="false">I134*(1-0.0239934932899553)</f>
        <v>0</v>
      </c>
      <c r="AQ134" s="83" t="s">
        <v>100</v>
      </c>
      <c r="AR134" s="51"/>
      <c r="AS134" s="51"/>
      <c r="AT134" s="51"/>
      <c r="AU134" s="51"/>
      <c r="AV134" s="82" t="n">
        <f aca="false">AW134+AX134</f>
        <v>0</v>
      </c>
      <c r="AW134" s="82" t="n">
        <f aca="false">H134*AO134</f>
        <v>0</v>
      </c>
      <c r="AX134" s="82" t="n">
        <f aca="false">H134*AP134</f>
        <v>0</v>
      </c>
      <c r="AY134" s="83" t="s">
        <v>439</v>
      </c>
      <c r="AZ134" s="83" t="s">
        <v>440</v>
      </c>
      <c r="BA134" s="64" t="s">
        <v>107</v>
      </c>
      <c r="BB134" s="51"/>
      <c r="BC134" s="82" t="n">
        <f aca="false">AW134+AX134</f>
        <v>0</v>
      </c>
      <c r="BD134" s="82" t="n">
        <f aca="false">I134/(100-BE134)*100</f>
        <v>0</v>
      </c>
      <c r="BE134" s="82" t="n">
        <v>0</v>
      </c>
      <c r="BF134" s="82" t="n">
        <f aca="false">134</f>
        <v>134</v>
      </c>
      <c r="BG134" s="51"/>
      <c r="BH134" s="82" t="n">
        <f aca="false">H134*AO134</f>
        <v>0</v>
      </c>
      <c r="BI134" s="82" t="n">
        <f aca="false">H134*AP134</f>
        <v>0</v>
      </c>
      <c r="BJ134" s="82" t="n">
        <f aca="false">H134*I134</f>
        <v>0</v>
      </c>
      <c r="BK134" s="82"/>
      <c r="BL134" s="82" t="n">
        <v>89</v>
      </c>
    </row>
    <row r="135" customFormat="false" ht="15" hidden="false" customHeight="true" outlineLevel="0" collapsed="false">
      <c r="A135" s="73"/>
      <c r="B135" s="74" t="s">
        <v>373</v>
      </c>
      <c r="C135" s="74" t="s">
        <v>441</v>
      </c>
      <c r="D135" s="74"/>
      <c r="E135" s="74"/>
      <c r="F135" s="74"/>
      <c r="G135" s="75" t="s">
        <v>65</v>
      </c>
      <c r="H135" s="75" t="s">
        <v>65</v>
      </c>
      <c r="I135" s="75" t="s">
        <v>65</v>
      </c>
      <c r="J135" s="76" t="n">
        <f aca="false">SUM(J136:J138)</f>
        <v>0</v>
      </c>
      <c r="K135" s="76" t="n">
        <f aca="false">SUM(K136:K138)</f>
        <v>0</v>
      </c>
      <c r="L135" s="76" t="n">
        <f aca="false">SUM(L136:L138)</f>
        <v>0</v>
      </c>
      <c r="M135" s="77"/>
      <c r="N135" s="53"/>
      <c r="O135" s="53"/>
      <c r="P135" s="53"/>
      <c r="Q135" s="53"/>
      <c r="R135" s="53"/>
      <c r="S135" s="53"/>
      <c r="T135" s="53"/>
      <c r="U135" s="53"/>
      <c r="V135" s="53"/>
      <c r="W135" s="53"/>
      <c r="X135" s="53"/>
      <c r="Y135" s="51"/>
      <c r="Z135" s="51"/>
      <c r="AA135" s="51"/>
      <c r="AB135" s="51"/>
      <c r="AC135" s="51"/>
      <c r="AD135" s="51"/>
      <c r="AE135" s="51"/>
      <c r="AF135" s="51"/>
      <c r="AG135" s="51"/>
      <c r="AH135" s="51"/>
      <c r="AI135" s="64" t="s">
        <v>99</v>
      </c>
      <c r="AJ135" s="51"/>
      <c r="AK135" s="51"/>
      <c r="AL135" s="51"/>
      <c r="AM135" s="51"/>
      <c r="AN135" s="51"/>
      <c r="AO135" s="51"/>
      <c r="AP135" s="51"/>
      <c r="AQ135" s="51"/>
      <c r="AR135" s="51"/>
      <c r="AS135" s="54" t="n">
        <f aca="false">SUM(AJ136:AJ138)</f>
        <v>0</v>
      </c>
      <c r="AT135" s="54" t="n">
        <f aca="false">SUM(AK136:AK138)</f>
        <v>0</v>
      </c>
      <c r="AU135" s="54" t="n">
        <f aca="false">SUM(AL136:AL138)</f>
        <v>0</v>
      </c>
      <c r="AV135" s="51"/>
      <c r="AW135" s="51"/>
      <c r="AX135" s="51"/>
      <c r="AY135" s="51"/>
      <c r="AZ135" s="51"/>
      <c r="BA135" s="51"/>
      <c r="BB135" s="51"/>
      <c r="BC135" s="51"/>
      <c r="BD135" s="51"/>
      <c r="BE135" s="51"/>
      <c r="BF135" s="51"/>
      <c r="BG135" s="51"/>
      <c r="BH135" s="51"/>
      <c r="BI135" s="51"/>
      <c r="BJ135" s="51"/>
      <c r="BK135" s="51"/>
      <c r="BL135" s="51"/>
    </row>
    <row r="136" customFormat="false" ht="15" hidden="false" customHeight="true" outlineLevel="0" collapsed="false">
      <c r="A136" s="78" t="s">
        <v>442</v>
      </c>
      <c r="B136" s="14" t="s">
        <v>443</v>
      </c>
      <c r="C136" s="14" t="s">
        <v>444</v>
      </c>
      <c r="D136" s="14"/>
      <c r="E136" s="14"/>
      <c r="F136" s="14"/>
      <c r="G136" s="14" t="s">
        <v>103</v>
      </c>
      <c r="H136" s="79" t="n">
        <v>55.8</v>
      </c>
      <c r="I136" s="80" t="n">
        <v>0</v>
      </c>
      <c r="J136" s="79" t="n">
        <f aca="false">H136*AO136</f>
        <v>0</v>
      </c>
      <c r="K136" s="79" t="n">
        <f aca="false">H136*AP136</f>
        <v>0</v>
      </c>
      <c r="L136" s="79" t="n">
        <f aca="false">H136*I136</f>
        <v>0</v>
      </c>
      <c r="M136" s="81" t="s">
        <v>104</v>
      </c>
      <c r="N136" s="53"/>
      <c r="O136" s="53"/>
      <c r="P136" s="53"/>
      <c r="Q136" s="53"/>
      <c r="R136" s="53"/>
      <c r="S136" s="53"/>
      <c r="T136" s="53"/>
      <c r="U136" s="53"/>
      <c r="V136" s="53"/>
      <c r="W136" s="53"/>
      <c r="X136" s="53"/>
      <c r="Y136" s="51"/>
      <c r="Z136" s="82" t="n">
        <f aca="false">IF(AQ136="5",BJ136,0)</f>
        <v>0</v>
      </c>
      <c r="AA136" s="51"/>
      <c r="AB136" s="82" t="n">
        <f aca="false">IF(AQ136="1",BH136,0)</f>
        <v>0</v>
      </c>
      <c r="AC136" s="82" t="n">
        <f aca="false">IF(AQ136="1",BI136,0)</f>
        <v>0</v>
      </c>
      <c r="AD136" s="82" t="n">
        <f aca="false">IF(AQ136="7",BH136,0)</f>
        <v>0</v>
      </c>
      <c r="AE136" s="82" t="n">
        <f aca="false">IF(AQ136="7",BI136,0)</f>
        <v>0</v>
      </c>
      <c r="AF136" s="82" t="n">
        <f aca="false">IF(AQ136="2",BH136,0)</f>
        <v>0</v>
      </c>
      <c r="AG136" s="82" t="n">
        <f aca="false">IF(AQ136="2",BI136,0)</f>
        <v>0</v>
      </c>
      <c r="AH136" s="82" t="n">
        <f aca="false">IF(AQ136="0",BJ136,0)</f>
        <v>0</v>
      </c>
      <c r="AI136" s="64" t="s">
        <v>99</v>
      </c>
      <c r="AJ136" s="82" t="n">
        <f aca="false">IF(AN136=0,L136,0)</f>
        <v>0</v>
      </c>
      <c r="AK136" s="82" t="n">
        <f aca="false">IF(AN136=15,L136,0)</f>
        <v>0</v>
      </c>
      <c r="AL136" s="82" t="n">
        <f aca="false">IF(AN136=21,L136,0)</f>
        <v>0</v>
      </c>
      <c r="AM136" s="51"/>
      <c r="AN136" s="82" t="n">
        <v>21</v>
      </c>
      <c r="AO136" s="82" t="n">
        <f aca="false">I136*0.102633087021238</f>
        <v>0</v>
      </c>
      <c r="AP136" s="82" t="n">
        <f aca="false">I136*(1-0.102633087021238)</f>
        <v>0</v>
      </c>
      <c r="AQ136" s="83" t="s">
        <v>100</v>
      </c>
      <c r="AR136" s="51"/>
      <c r="AS136" s="51"/>
      <c r="AT136" s="51"/>
      <c r="AU136" s="51"/>
      <c r="AV136" s="82" t="n">
        <f aca="false">AW136+AX136</f>
        <v>0</v>
      </c>
      <c r="AW136" s="82" t="n">
        <f aca="false">H136*AO136</f>
        <v>0</v>
      </c>
      <c r="AX136" s="82" t="n">
        <f aca="false">H136*AP136</f>
        <v>0</v>
      </c>
      <c r="AY136" s="83" t="s">
        <v>445</v>
      </c>
      <c r="AZ136" s="83" t="s">
        <v>446</v>
      </c>
      <c r="BA136" s="64" t="s">
        <v>107</v>
      </c>
      <c r="BB136" s="51"/>
      <c r="BC136" s="82" t="n">
        <f aca="false">AW136+AX136</f>
        <v>0</v>
      </c>
      <c r="BD136" s="82" t="n">
        <f aca="false">I136/(100-BE136)*100</f>
        <v>0</v>
      </c>
      <c r="BE136" s="82" t="n">
        <v>0</v>
      </c>
      <c r="BF136" s="82" t="n">
        <f aca="false">136</f>
        <v>136</v>
      </c>
      <c r="BG136" s="51"/>
      <c r="BH136" s="82" t="n">
        <f aca="false">H136*AO136</f>
        <v>0</v>
      </c>
      <c r="BI136" s="82" t="n">
        <f aca="false">H136*AP136</f>
        <v>0</v>
      </c>
      <c r="BJ136" s="82" t="n">
        <f aca="false">H136*I136</f>
        <v>0</v>
      </c>
      <c r="BK136" s="82"/>
      <c r="BL136" s="82" t="n">
        <v>96</v>
      </c>
    </row>
    <row r="137" customFormat="false" ht="15" hidden="false" customHeight="true" outlineLevel="0" collapsed="false">
      <c r="A137" s="78" t="s">
        <v>447</v>
      </c>
      <c r="B137" s="14" t="s">
        <v>448</v>
      </c>
      <c r="C137" s="14" t="s">
        <v>449</v>
      </c>
      <c r="D137" s="14"/>
      <c r="E137" s="14"/>
      <c r="F137" s="14"/>
      <c r="G137" s="14" t="s">
        <v>103</v>
      </c>
      <c r="H137" s="79" t="n">
        <v>147</v>
      </c>
      <c r="I137" s="80" t="n">
        <v>0</v>
      </c>
      <c r="J137" s="79" t="n">
        <f aca="false">H137*AO137</f>
        <v>0</v>
      </c>
      <c r="K137" s="79" t="n">
        <f aca="false">H137*AP137</f>
        <v>0</v>
      </c>
      <c r="L137" s="79" t="n">
        <f aca="false">H137*I137</f>
        <v>0</v>
      </c>
      <c r="M137" s="81" t="s">
        <v>104</v>
      </c>
      <c r="N137" s="53"/>
      <c r="O137" s="53"/>
      <c r="P137" s="53"/>
      <c r="Q137" s="53"/>
      <c r="R137" s="53"/>
      <c r="S137" s="53"/>
      <c r="T137" s="53"/>
      <c r="U137" s="53"/>
      <c r="V137" s="53"/>
      <c r="W137" s="53"/>
      <c r="X137" s="53"/>
      <c r="Y137" s="51"/>
      <c r="Z137" s="82" t="n">
        <f aca="false">IF(AQ137="5",BJ137,0)</f>
        <v>0</v>
      </c>
      <c r="AA137" s="51"/>
      <c r="AB137" s="82" t="n">
        <f aca="false">IF(AQ137="1",BH137,0)</f>
        <v>0</v>
      </c>
      <c r="AC137" s="82" t="n">
        <f aca="false">IF(AQ137="1",BI137,0)</f>
        <v>0</v>
      </c>
      <c r="AD137" s="82" t="n">
        <f aca="false">IF(AQ137="7",BH137,0)</f>
        <v>0</v>
      </c>
      <c r="AE137" s="82" t="n">
        <f aca="false">IF(AQ137="7",BI137,0)</f>
        <v>0</v>
      </c>
      <c r="AF137" s="82" t="n">
        <f aca="false">IF(AQ137="2",BH137,0)</f>
        <v>0</v>
      </c>
      <c r="AG137" s="82" t="n">
        <f aca="false">IF(AQ137="2",BI137,0)</f>
        <v>0</v>
      </c>
      <c r="AH137" s="82" t="n">
        <f aca="false">IF(AQ137="0",BJ137,0)</f>
        <v>0</v>
      </c>
      <c r="AI137" s="64" t="s">
        <v>99</v>
      </c>
      <c r="AJ137" s="82" t="n">
        <f aca="false">IF(AN137=0,L137,0)</f>
        <v>0</v>
      </c>
      <c r="AK137" s="82" t="n">
        <f aca="false">IF(AN137=15,L137,0)</f>
        <v>0</v>
      </c>
      <c r="AL137" s="82" t="n">
        <f aca="false">IF(AN137=21,L137,0)</f>
        <v>0</v>
      </c>
      <c r="AM137" s="51"/>
      <c r="AN137" s="82" t="n">
        <v>21</v>
      </c>
      <c r="AO137" s="82" t="n">
        <f aca="false">I137*0</f>
        <v>0</v>
      </c>
      <c r="AP137" s="82" t="n">
        <f aca="false">I137*(1-0)</f>
        <v>0</v>
      </c>
      <c r="AQ137" s="83" t="s">
        <v>100</v>
      </c>
      <c r="AR137" s="51"/>
      <c r="AS137" s="51"/>
      <c r="AT137" s="51"/>
      <c r="AU137" s="51"/>
      <c r="AV137" s="82" t="n">
        <f aca="false">AW137+AX137</f>
        <v>0</v>
      </c>
      <c r="AW137" s="82" t="n">
        <f aca="false">H137*AO137</f>
        <v>0</v>
      </c>
      <c r="AX137" s="82" t="n">
        <f aca="false">H137*AP137</f>
        <v>0</v>
      </c>
      <c r="AY137" s="83" t="s">
        <v>445</v>
      </c>
      <c r="AZ137" s="83" t="s">
        <v>446</v>
      </c>
      <c r="BA137" s="64" t="s">
        <v>107</v>
      </c>
      <c r="BB137" s="51"/>
      <c r="BC137" s="82" t="n">
        <f aca="false">AW137+AX137</f>
        <v>0</v>
      </c>
      <c r="BD137" s="82" t="n">
        <f aca="false">I137/(100-BE137)*100</f>
        <v>0</v>
      </c>
      <c r="BE137" s="82" t="n">
        <v>0</v>
      </c>
      <c r="BF137" s="82" t="n">
        <f aca="false">137</f>
        <v>137</v>
      </c>
      <c r="BG137" s="51"/>
      <c r="BH137" s="82" t="n">
        <f aca="false">H137*AO137</f>
        <v>0</v>
      </c>
      <c r="BI137" s="82" t="n">
        <f aca="false">H137*AP137</f>
        <v>0</v>
      </c>
      <c r="BJ137" s="82" t="n">
        <f aca="false">H137*I137</f>
        <v>0</v>
      </c>
      <c r="BK137" s="82"/>
      <c r="BL137" s="82" t="n">
        <v>96</v>
      </c>
    </row>
    <row r="138" customFormat="false" ht="15" hidden="false" customHeight="true" outlineLevel="0" collapsed="false">
      <c r="A138" s="78" t="s">
        <v>450</v>
      </c>
      <c r="B138" s="14" t="s">
        <v>451</v>
      </c>
      <c r="C138" s="14" t="s">
        <v>452</v>
      </c>
      <c r="D138" s="14"/>
      <c r="E138" s="14"/>
      <c r="F138" s="14"/>
      <c r="G138" s="14" t="s">
        <v>124</v>
      </c>
      <c r="H138" s="79" t="n">
        <v>659.2</v>
      </c>
      <c r="I138" s="80" t="n">
        <v>0</v>
      </c>
      <c r="J138" s="79" t="n">
        <f aca="false">H138*AO138</f>
        <v>0</v>
      </c>
      <c r="K138" s="79" t="n">
        <f aca="false">H138*AP138</f>
        <v>0</v>
      </c>
      <c r="L138" s="79" t="n">
        <f aca="false">H138*I138</f>
        <v>0</v>
      </c>
      <c r="M138" s="81" t="s">
        <v>104</v>
      </c>
      <c r="N138" s="53"/>
      <c r="O138" s="53"/>
      <c r="P138" s="53"/>
      <c r="Q138" s="53"/>
      <c r="R138" s="53"/>
      <c r="S138" s="53"/>
      <c r="T138" s="53"/>
      <c r="U138" s="53"/>
      <c r="V138" s="53"/>
      <c r="W138" s="53"/>
      <c r="X138" s="53"/>
      <c r="Y138" s="51"/>
      <c r="Z138" s="82" t="n">
        <f aca="false">IF(AQ138="5",BJ138,0)</f>
        <v>0</v>
      </c>
      <c r="AA138" s="51"/>
      <c r="AB138" s="82" t="n">
        <f aca="false">IF(AQ138="1",BH138,0)</f>
        <v>0</v>
      </c>
      <c r="AC138" s="82" t="n">
        <f aca="false">IF(AQ138="1",BI138,0)</f>
        <v>0</v>
      </c>
      <c r="AD138" s="82" t="n">
        <f aca="false">IF(AQ138="7",BH138,0)</f>
        <v>0</v>
      </c>
      <c r="AE138" s="82" t="n">
        <f aca="false">IF(AQ138="7",BI138,0)</f>
        <v>0</v>
      </c>
      <c r="AF138" s="82" t="n">
        <f aca="false">IF(AQ138="2",BH138,0)</f>
        <v>0</v>
      </c>
      <c r="AG138" s="82" t="n">
        <f aca="false">IF(AQ138="2",BI138,0)</f>
        <v>0</v>
      </c>
      <c r="AH138" s="82" t="n">
        <f aca="false">IF(AQ138="0",BJ138,0)</f>
        <v>0</v>
      </c>
      <c r="AI138" s="64" t="s">
        <v>99</v>
      </c>
      <c r="AJ138" s="82" t="n">
        <f aca="false">IF(AN138=0,L138,0)</f>
        <v>0</v>
      </c>
      <c r="AK138" s="82" t="n">
        <f aca="false">IF(AN138=15,L138,0)</f>
        <v>0</v>
      </c>
      <c r="AL138" s="82" t="n">
        <f aca="false">IF(AN138=21,L138,0)</f>
        <v>0</v>
      </c>
      <c r="AM138" s="51"/>
      <c r="AN138" s="82" t="n">
        <v>21</v>
      </c>
      <c r="AO138" s="82" t="n">
        <f aca="false">I138*0.171036585365854</f>
        <v>0</v>
      </c>
      <c r="AP138" s="82" t="n">
        <f aca="false">I138*(1-0.171036585365854)</f>
        <v>0</v>
      </c>
      <c r="AQ138" s="83" t="s">
        <v>100</v>
      </c>
      <c r="AR138" s="51"/>
      <c r="AS138" s="51"/>
      <c r="AT138" s="51"/>
      <c r="AU138" s="51"/>
      <c r="AV138" s="82" t="n">
        <f aca="false">AW138+AX138</f>
        <v>0</v>
      </c>
      <c r="AW138" s="82" t="n">
        <f aca="false">H138*AO138</f>
        <v>0</v>
      </c>
      <c r="AX138" s="82" t="n">
        <f aca="false">H138*AP138</f>
        <v>0</v>
      </c>
      <c r="AY138" s="83" t="s">
        <v>445</v>
      </c>
      <c r="AZ138" s="83" t="s">
        <v>446</v>
      </c>
      <c r="BA138" s="64" t="s">
        <v>107</v>
      </c>
      <c r="BB138" s="51"/>
      <c r="BC138" s="82" t="n">
        <f aca="false">AW138+AX138</f>
        <v>0</v>
      </c>
      <c r="BD138" s="82" t="n">
        <f aca="false">I138/(100-BE138)*100</f>
        <v>0</v>
      </c>
      <c r="BE138" s="82" t="n">
        <v>0</v>
      </c>
      <c r="BF138" s="82" t="n">
        <f aca="false">138</f>
        <v>138</v>
      </c>
      <c r="BG138" s="51"/>
      <c r="BH138" s="82" t="n">
        <f aca="false">H138*AO138</f>
        <v>0</v>
      </c>
      <c r="BI138" s="82" t="n">
        <f aca="false">H138*AP138</f>
        <v>0</v>
      </c>
      <c r="BJ138" s="82" t="n">
        <f aca="false">H138*I138</f>
        <v>0</v>
      </c>
      <c r="BK138" s="82"/>
      <c r="BL138" s="82" t="n">
        <v>96</v>
      </c>
    </row>
    <row r="139" customFormat="false" ht="15" hidden="false" customHeight="true" outlineLevel="0" collapsed="false">
      <c r="A139" s="73"/>
      <c r="B139" s="74" t="s">
        <v>378</v>
      </c>
      <c r="C139" s="74" t="s">
        <v>453</v>
      </c>
      <c r="D139" s="74"/>
      <c r="E139" s="74"/>
      <c r="F139" s="74"/>
      <c r="G139" s="75" t="s">
        <v>65</v>
      </c>
      <c r="H139" s="75" t="s">
        <v>65</v>
      </c>
      <c r="I139" s="75" t="s">
        <v>65</v>
      </c>
      <c r="J139" s="76" t="n">
        <f aca="false">SUM(J140:J141)</f>
        <v>0</v>
      </c>
      <c r="K139" s="76" t="n">
        <f aca="false">SUM(K140:K141)</f>
        <v>0</v>
      </c>
      <c r="L139" s="76" t="n">
        <f aca="false">SUM(L140:L141)</f>
        <v>0</v>
      </c>
      <c r="M139" s="77"/>
      <c r="N139" s="53"/>
      <c r="O139" s="53"/>
      <c r="P139" s="53"/>
      <c r="Q139" s="53"/>
      <c r="R139" s="53"/>
      <c r="S139" s="53"/>
      <c r="T139" s="53"/>
      <c r="U139" s="53"/>
      <c r="V139" s="53"/>
      <c r="W139" s="53"/>
      <c r="X139" s="53"/>
      <c r="Y139" s="51"/>
      <c r="Z139" s="51"/>
      <c r="AA139" s="51"/>
      <c r="AB139" s="51"/>
      <c r="AC139" s="51"/>
      <c r="AD139" s="51"/>
      <c r="AE139" s="51"/>
      <c r="AF139" s="51"/>
      <c r="AG139" s="51"/>
      <c r="AH139" s="51"/>
      <c r="AI139" s="64" t="s">
        <v>99</v>
      </c>
      <c r="AJ139" s="51"/>
      <c r="AK139" s="51"/>
      <c r="AL139" s="51"/>
      <c r="AM139" s="51"/>
      <c r="AN139" s="51"/>
      <c r="AO139" s="51"/>
      <c r="AP139" s="51"/>
      <c r="AQ139" s="51"/>
      <c r="AR139" s="51"/>
      <c r="AS139" s="54" t="n">
        <f aca="false">SUM(AJ140:AJ141)</f>
        <v>0</v>
      </c>
      <c r="AT139" s="54" t="n">
        <f aca="false">SUM(AK140:AK141)</f>
        <v>0</v>
      </c>
      <c r="AU139" s="54" t="n">
        <f aca="false">SUM(AL140:AL141)</f>
        <v>0</v>
      </c>
      <c r="AV139" s="51"/>
      <c r="AW139" s="51"/>
      <c r="AX139" s="51"/>
      <c r="AY139" s="51"/>
      <c r="AZ139" s="51"/>
      <c r="BA139" s="51"/>
      <c r="BB139" s="51"/>
      <c r="BC139" s="51"/>
      <c r="BD139" s="51"/>
      <c r="BE139" s="51"/>
      <c r="BF139" s="51"/>
      <c r="BG139" s="51"/>
      <c r="BH139" s="51"/>
      <c r="BI139" s="51"/>
      <c r="BJ139" s="51"/>
      <c r="BK139" s="51"/>
      <c r="BL139" s="51"/>
    </row>
    <row r="140" customFormat="false" ht="15" hidden="false" customHeight="true" outlineLevel="0" collapsed="false">
      <c r="A140" s="78" t="s">
        <v>454</v>
      </c>
      <c r="B140" s="14" t="s">
        <v>455</v>
      </c>
      <c r="C140" s="14" t="s">
        <v>456</v>
      </c>
      <c r="D140" s="14"/>
      <c r="E140" s="14"/>
      <c r="F140" s="14"/>
      <c r="G140" s="14" t="s">
        <v>111</v>
      </c>
      <c r="H140" s="79" t="n">
        <v>38.6</v>
      </c>
      <c r="I140" s="80" t="n">
        <v>0</v>
      </c>
      <c r="J140" s="79" t="n">
        <f aca="false">H140*AO140</f>
        <v>0</v>
      </c>
      <c r="K140" s="79" t="n">
        <f aca="false">H140*AP140</f>
        <v>0</v>
      </c>
      <c r="L140" s="79" t="n">
        <f aca="false">H140*I140</f>
        <v>0</v>
      </c>
      <c r="M140" s="81" t="s">
        <v>104</v>
      </c>
      <c r="N140" s="53"/>
      <c r="O140" s="53"/>
      <c r="P140" s="53"/>
      <c r="Q140" s="53"/>
      <c r="R140" s="53"/>
      <c r="S140" s="53"/>
      <c r="T140" s="53"/>
      <c r="U140" s="53"/>
      <c r="V140" s="53"/>
      <c r="W140" s="53"/>
      <c r="X140" s="53"/>
      <c r="Y140" s="51"/>
      <c r="Z140" s="82" t="n">
        <f aca="false">IF(AQ140="5",BJ140,0)</f>
        <v>0</v>
      </c>
      <c r="AA140" s="51"/>
      <c r="AB140" s="82" t="n">
        <f aca="false">IF(AQ140="1",BH140,0)</f>
        <v>0</v>
      </c>
      <c r="AC140" s="82" t="n">
        <f aca="false">IF(AQ140="1",BI140,0)</f>
        <v>0</v>
      </c>
      <c r="AD140" s="82" t="n">
        <f aca="false">IF(AQ140="7",BH140,0)</f>
        <v>0</v>
      </c>
      <c r="AE140" s="82" t="n">
        <f aca="false">IF(AQ140="7",BI140,0)</f>
        <v>0</v>
      </c>
      <c r="AF140" s="82" t="n">
        <f aca="false">IF(AQ140="2",BH140,0)</f>
        <v>0</v>
      </c>
      <c r="AG140" s="82" t="n">
        <f aca="false">IF(AQ140="2",BI140,0)</f>
        <v>0</v>
      </c>
      <c r="AH140" s="82" t="n">
        <f aca="false">IF(AQ140="0",BJ140,0)</f>
        <v>0</v>
      </c>
      <c r="AI140" s="64" t="s">
        <v>99</v>
      </c>
      <c r="AJ140" s="82" t="n">
        <f aca="false">IF(AN140=0,L140,0)</f>
        <v>0</v>
      </c>
      <c r="AK140" s="82" t="n">
        <f aca="false">IF(AN140=15,L140,0)</f>
        <v>0</v>
      </c>
      <c r="AL140" s="82" t="n">
        <f aca="false">IF(AN140=21,L140,0)</f>
        <v>0</v>
      </c>
      <c r="AM140" s="51"/>
      <c r="AN140" s="82" t="n">
        <v>21</v>
      </c>
      <c r="AO140" s="82" t="n">
        <f aca="false">I140*0</f>
        <v>0</v>
      </c>
      <c r="AP140" s="82" t="n">
        <f aca="false">I140*(1-0)</f>
        <v>0</v>
      </c>
      <c r="AQ140" s="83" t="s">
        <v>100</v>
      </c>
      <c r="AR140" s="51"/>
      <c r="AS140" s="51"/>
      <c r="AT140" s="51"/>
      <c r="AU140" s="51"/>
      <c r="AV140" s="82" t="n">
        <f aca="false">AW140+AX140</f>
        <v>0</v>
      </c>
      <c r="AW140" s="82" t="n">
        <f aca="false">H140*AO140</f>
        <v>0</v>
      </c>
      <c r="AX140" s="82" t="n">
        <f aca="false">H140*AP140</f>
        <v>0</v>
      </c>
      <c r="AY140" s="83" t="s">
        <v>457</v>
      </c>
      <c r="AZ140" s="83" t="s">
        <v>446</v>
      </c>
      <c r="BA140" s="64" t="s">
        <v>107</v>
      </c>
      <c r="BB140" s="51"/>
      <c r="BC140" s="82" t="n">
        <f aca="false">AW140+AX140</f>
        <v>0</v>
      </c>
      <c r="BD140" s="82" t="n">
        <f aca="false">I140/(100-BE140)*100</f>
        <v>0</v>
      </c>
      <c r="BE140" s="82" t="n">
        <v>0</v>
      </c>
      <c r="BF140" s="82" t="n">
        <f aca="false">140</f>
        <v>140</v>
      </c>
      <c r="BG140" s="51"/>
      <c r="BH140" s="82" t="n">
        <f aca="false">H140*AO140</f>
        <v>0</v>
      </c>
      <c r="BI140" s="82" t="n">
        <f aca="false">H140*AP140</f>
        <v>0</v>
      </c>
      <c r="BJ140" s="82" t="n">
        <f aca="false">H140*I140</f>
        <v>0</v>
      </c>
      <c r="BK140" s="82"/>
      <c r="BL140" s="82" t="n">
        <v>97</v>
      </c>
    </row>
    <row r="141" customFormat="false" ht="15" hidden="false" customHeight="true" outlineLevel="0" collapsed="false">
      <c r="A141" s="78" t="s">
        <v>458</v>
      </c>
      <c r="B141" s="14" t="s">
        <v>459</v>
      </c>
      <c r="C141" s="14" t="s">
        <v>460</v>
      </c>
      <c r="D141" s="14"/>
      <c r="E141" s="14"/>
      <c r="F141" s="14"/>
      <c r="G141" s="14" t="s">
        <v>124</v>
      </c>
      <c r="H141" s="79" t="n">
        <v>67.5</v>
      </c>
      <c r="I141" s="80" t="n">
        <v>0</v>
      </c>
      <c r="J141" s="79" t="n">
        <f aca="false">H141*AO141</f>
        <v>0</v>
      </c>
      <c r="K141" s="79" t="n">
        <f aca="false">H141*AP141</f>
        <v>0</v>
      </c>
      <c r="L141" s="79" t="n">
        <f aca="false">H141*I141</f>
        <v>0</v>
      </c>
      <c r="M141" s="81" t="s">
        <v>104</v>
      </c>
      <c r="N141" s="53"/>
      <c r="O141" s="53"/>
      <c r="P141" s="53"/>
      <c r="Q141" s="53"/>
      <c r="R141" s="53"/>
      <c r="S141" s="53"/>
      <c r="T141" s="53"/>
      <c r="U141" s="53"/>
      <c r="V141" s="53"/>
      <c r="W141" s="53"/>
      <c r="X141" s="53"/>
      <c r="Y141" s="51"/>
      <c r="Z141" s="82" t="n">
        <f aca="false">IF(AQ141="5",BJ141,0)</f>
        <v>0</v>
      </c>
      <c r="AA141" s="51"/>
      <c r="AB141" s="82" t="n">
        <f aca="false">IF(AQ141="1",BH141,0)</f>
        <v>0</v>
      </c>
      <c r="AC141" s="82" t="n">
        <f aca="false">IF(AQ141="1",BI141,0)</f>
        <v>0</v>
      </c>
      <c r="AD141" s="82" t="n">
        <f aca="false">IF(AQ141="7",BH141,0)</f>
        <v>0</v>
      </c>
      <c r="AE141" s="82" t="n">
        <f aca="false">IF(AQ141="7",BI141,0)</f>
        <v>0</v>
      </c>
      <c r="AF141" s="82" t="n">
        <f aca="false">IF(AQ141="2",BH141,0)</f>
        <v>0</v>
      </c>
      <c r="AG141" s="82" t="n">
        <f aca="false">IF(AQ141="2",BI141,0)</f>
        <v>0</v>
      </c>
      <c r="AH141" s="82" t="n">
        <f aca="false">IF(AQ141="0",BJ141,0)</f>
        <v>0</v>
      </c>
      <c r="AI141" s="64" t="s">
        <v>99</v>
      </c>
      <c r="AJ141" s="82" t="n">
        <f aca="false">IF(AN141=0,L141,0)</f>
        <v>0</v>
      </c>
      <c r="AK141" s="82" t="n">
        <f aca="false">IF(AN141=15,L141,0)</f>
        <v>0</v>
      </c>
      <c r="AL141" s="82" t="n">
        <f aca="false">IF(AN141=21,L141,0)</f>
        <v>0</v>
      </c>
      <c r="AM141" s="51"/>
      <c r="AN141" s="82" t="n">
        <v>21</v>
      </c>
      <c r="AO141" s="82" t="n">
        <f aca="false">I141*0.0472368421052632</f>
        <v>0</v>
      </c>
      <c r="AP141" s="82" t="n">
        <f aca="false">I141*(1-0.0472368421052632)</f>
        <v>0</v>
      </c>
      <c r="AQ141" s="83" t="s">
        <v>100</v>
      </c>
      <c r="AR141" s="51"/>
      <c r="AS141" s="51"/>
      <c r="AT141" s="51"/>
      <c r="AU141" s="51"/>
      <c r="AV141" s="82" t="n">
        <f aca="false">AW141+AX141</f>
        <v>0</v>
      </c>
      <c r="AW141" s="82" t="n">
        <f aca="false">H141*AO141</f>
        <v>0</v>
      </c>
      <c r="AX141" s="82" t="n">
        <f aca="false">H141*AP141</f>
        <v>0</v>
      </c>
      <c r="AY141" s="83" t="s">
        <v>457</v>
      </c>
      <c r="AZ141" s="83" t="s">
        <v>446</v>
      </c>
      <c r="BA141" s="64" t="s">
        <v>107</v>
      </c>
      <c r="BB141" s="51"/>
      <c r="BC141" s="82" t="n">
        <f aca="false">AW141+AX141</f>
        <v>0</v>
      </c>
      <c r="BD141" s="82" t="n">
        <f aca="false">I141/(100-BE141)*100</f>
        <v>0</v>
      </c>
      <c r="BE141" s="82" t="n">
        <v>0</v>
      </c>
      <c r="BF141" s="82" t="n">
        <f aca="false">141</f>
        <v>141</v>
      </c>
      <c r="BG141" s="51"/>
      <c r="BH141" s="82" t="n">
        <f aca="false">H141*AO141</f>
        <v>0</v>
      </c>
      <c r="BI141" s="82" t="n">
        <f aca="false">H141*AP141</f>
        <v>0</v>
      </c>
      <c r="BJ141" s="82" t="n">
        <f aca="false">H141*I141</f>
        <v>0</v>
      </c>
      <c r="BK141" s="82"/>
      <c r="BL141" s="82" t="n">
        <v>97</v>
      </c>
    </row>
    <row r="142" customFormat="false" ht="15" hidden="false" customHeight="true" outlineLevel="0" collapsed="false">
      <c r="A142" s="73"/>
      <c r="B142" s="74" t="s">
        <v>461</v>
      </c>
      <c r="C142" s="74" t="s">
        <v>136</v>
      </c>
      <c r="D142" s="74"/>
      <c r="E142" s="74"/>
      <c r="F142" s="74"/>
      <c r="G142" s="75" t="s">
        <v>65</v>
      </c>
      <c r="H142" s="75" t="s">
        <v>65</v>
      </c>
      <c r="I142" s="75" t="s">
        <v>65</v>
      </c>
      <c r="J142" s="76" t="n">
        <f aca="false">SUM(J143:J143)</f>
        <v>0</v>
      </c>
      <c r="K142" s="76" t="n">
        <f aca="false">SUM(K143:K143)</f>
        <v>0</v>
      </c>
      <c r="L142" s="76" t="n">
        <f aca="false">SUM(L143:L143)</f>
        <v>0</v>
      </c>
      <c r="M142" s="77"/>
      <c r="N142" s="53"/>
      <c r="O142" s="53"/>
      <c r="P142" s="53"/>
      <c r="Q142" s="53"/>
      <c r="R142" s="53"/>
      <c r="S142" s="53"/>
      <c r="T142" s="53"/>
      <c r="U142" s="53"/>
      <c r="V142" s="53"/>
      <c r="W142" s="53"/>
      <c r="X142" s="53"/>
      <c r="Y142" s="51"/>
      <c r="Z142" s="51"/>
      <c r="AA142" s="51"/>
      <c r="AB142" s="51"/>
      <c r="AC142" s="51"/>
      <c r="AD142" s="51"/>
      <c r="AE142" s="51"/>
      <c r="AF142" s="51"/>
      <c r="AG142" s="51"/>
      <c r="AH142" s="51"/>
      <c r="AI142" s="64" t="s">
        <v>99</v>
      </c>
      <c r="AJ142" s="51"/>
      <c r="AK142" s="51"/>
      <c r="AL142" s="51"/>
      <c r="AM142" s="51"/>
      <c r="AN142" s="51"/>
      <c r="AO142" s="51"/>
      <c r="AP142" s="51"/>
      <c r="AQ142" s="51"/>
      <c r="AR142" s="51"/>
      <c r="AS142" s="54" t="n">
        <f aca="false">SUM(AJ143:AJ143)</f>
        <v>0</v>
      </c>
      <c r="AT142" s="54" t="n">
        <f aca="false">SUM(AK143:AK143)</f>
        <v>0</v>
      </c>
      <c r="AU142" s="54" t="n">
        <f aca="false">SUM(AL143:AL143)</f>
        <v>0</v>
      </c>
      <c r="AV142" s="51"/>
      <c r="AW142" s="51"/>
      <c r="AX142" s="51"/>
      <c r="AY142" s="51"/>
      <c r="AZ142" s="51"/>
      <c r="BA142" s="51"/>
      <c r="BB142" s="51"/>
      <c r="BC142" s="51"/>
      <c r="BD142" s="51"/>
      <c r="BE142" s="51"/>
      <c r="BF142" s="51"/>
      <c r="BG142" s="51"/>
      <c r="BH142" s="51"/>
      <c r="BI142" s="51"/>
      <c r="BJ142" s="51"/>
      <c r="BK142" s="51"/>
      <c r="BL142" s="51"/>
    </row>
    <row r="143" customFormat="false" ht="15" hidden="false" customHeight="true" outlineLevel="0" collapsed="false">
      <c r="A143" s="78" t="s">
        <v>462</v>
      </c>
      <c r="B143" s="14" t="s">
        <v>463</v>
      </c>
      <c r="C143" s="14" t="s">
        <v>464</v>
      </c>
      <c r="D143" s="14"/>
      <c r="E143" s="14"/>
      <c r="F143" s="14"/>
      <c r="G143" s="14" t="s">
        <v>465</v>
      </c>
      <c r="H143" s="79" t="n">
        <v>2.1</v>
      </c>
      <c r="I143" s="80" t="n">
        <v>0</v>
      </c>
      <c r="J143" s="79" t="n">
        <f aca="false">H143*AO143</f>
        <v>0</v>
      </c>
      <c r="K143" s="79" t="n">
        <f aca="false">H143*AP143</f>
        <v>0</v>
      </c>
      <c r="L143" s="79" t="n">
        <f aca="false">H143*I143</f>
        <v>0</v>
      </c>
      <c r="M143" s="81" t="s">
        <v>104</v>
      </c>
      <c r="N143" s="53"/>
      <c r="O143" s="53"/>
      <c r="P143" s="53"/>
      <c r="Q143" s="53"/>
      <c r="R143" s="53"/>
      <c r="S143" s="53"/>
      <c r="T143" s="53"/>
      <c r="U143" s="53"/>
      <c r="V143" s="53"/>
      <c r="W143" s="53"/>
      <c r="X143" s="53"/>
      <c r="Y143" s="51"/>
      <c r="Z143" s="82" t="n">
        <f aca="false">IF(AQ143="5",BJ143,0)</f>
        <v>0</v>
      </c>
      <c r="AA143" s="51"/>
      <c r="AB143" s="82" t="n">
        <f aca="false">IF(AQ143="1",BH143,0)</f>
        <v>0</v>
      </c>
      <c r="AC143" s="82" t="n">
        <f aca="false">IF(AQ143="1",BI143,0)</f>
        <v>0</v>
      </c>
      <c r="AD143" s="82" t="n">
        <f aca="false">IF(AQ143="7",BH143,0)</f>
        <v>0</v>
      </c>
      <c r="AE143" s="82" t="n">
        <f aca="false">IF(AQ143="7",BI143,0)</f>
        <v>0</v>
      </c>
      <c r="AF143" s="82" t="n">
        <f aca="false">IF(AQ143="2",BH143,0)</f>
        <v>0</v>
      </c>
      <c r="AG143" s="82" t="n">
        <f aca="false">IF(AQ143="2",BI143,0)</f>
        <v>0</v>
      </c>
      <c r="AH143" s="82" t="n">
        <f aca="false">IF(AQ143="0",BJ143,0)</f>
        <v>0</v>
      </c>
      <c r="AI143" s="64" t="s">
        <v>99</v>
      </c>
      <c r="AJ143" s="82" t="n">
        <f aca="false">IF(AN143=0,L143,0)</f>
        <v>0</v>
      </c>
      <c r="AK143" s="82" t="n">
        <f aca="false">IF(AN143=15,L143,0)</f>
        <v>0</v>
      </c>
      <c r="AL143" s="82" t="n">
        <f aca="false">IF(AN143=21,L143,0)</f>
        <v>0</v>
      </c>
      <c r="AM143" s="51"/>
      <c r="AN143" s="82" t="n">
        <v>21</v>
      </c>
      <c r="AO143" s="82" t="n">
        <f aca="false">I143*0</f>
        <v>0</v>
      </c>
      <c r="AP143" s="82" t="n">
        <f aca="false">I143*(1-0)</f>
        <v>0</v>
      </c>
      <c r="AQ143" s="83" t="s">
        <v>129</v>
      </c>
      <c r="AR143" s="51"/>
      <c r="AS143" s="51"/>
      <c r="AT143" s="51"/>
      <c r="AU143" s="51"/>
      <c r="AV143" s="82" t="n">
        <f aca="false">AW143+AX143</f>
        <v>0</v>
      </c>
      <c r="AW143" s="82" t="n">
        <f aca="false">H143*AO143</f>
        <v>0</v>
      </c>
      <c r="AX143" s="82" t="n">
        <f aca="false">H143*AP143</f>
        <v>0</v>
      </c>
      <c r="AY143" s="83" t="s">
        <v>466</v>
      </c>
      <c r="AZ143" s="83" t="s">
        <v>446</v>
      </c>
      <c r="BA143" s="64" t="s">
        <v>107</v>
      </c>
      <c r="BB143" s="51"/>
      <c r="BC143" s="82" t="n">
        <f aca="false">AW143+AX143</f>
        <v>0</v>
      </c>
      <c r="BD143" s="82" t="n">
        <f aca="false">I143/(100-BE143)*100</f>
        <v>0</v>
      </c>
      <c r="BE143" s="82" t="n">
        <v>0</v>
      </c>
      <c r="BF143" s="82" t="n">
        <f aca="false">143</f>
        <v>143</v>
      </c>
      <c r="BG143" s="51"/>
      <c r="BH143" s="82" t="n">
        <f aca="false">H143*AO143</f>
        <v>0</v>
      </c>
      <c r="BI143" s="82" t="n">
        <f aca="false">H143*AP143</f>
        <v>0</v>
      </c>
      <c r="BJ143" s="82" t="n">
        <f aca="false">H143*I143</f>
        <v>0</v>
      </c>
      <c r="BK143" s="82"/>
      <c r="BL143" s="82"/>
    </row>
    <row r="144" customFormat="false" ht="15" hidden="false" customHeight="true" outlineLevel="0" collapsed="false">
      <c r="A144" s="73"/>
      <c r="B144" s="74" t="s">
        <v>467</v>
      </c>
      <c r="C144" s="74" t="s">
        <v>468</v>
      </c>
      <c r="D144" s="74"/>
      <c r="E144" s="74"/>
      <c r="F144" s="74"/>
      <c r="G144" s="75" t="s">
        <v>65</v>
      </c>
      <c r="H144" s="75" t="s">
        <v>65</v>
      </c>
      <c r="I144" s="75" t="s">
        <v>65</v>
      </c>
      <c r="J144" s="76" t="n">
        <f aca="false">SUM(J145:J145)</f>
        <v>0</v>
      </c>
      <c r="K144" s="76" t="n">
        <f aca="false">SUM(K145:K145)</f>
        <v>0</v>
      </c>
      <c r="L144" s="76" t="n">
        <f aca="false">SUM(L145:L145)</f>
        <v>0</v>
      </c>
      <c r="M144" s="77"/>
      <c r="N144" s="53"/>
      <c r="O144" s="53"/>
      <c r="P144" s="53"/>
      <c r="Q144" s="53"/>
      <c r="R144" s="53"/>
      <c r="S144" s="53"/>
      <c r="T144" s="53"/>
      <c r="U144" s="53"/>
      <c r="V144" s="53"/>
      <c r="W144" s="53"/>
      <c r="X144" s="53"/>
      <c r="Y144" s="51"/>
      <c r="Z144" s="51"/>
      <c r="AA144" s="51"/>
      <c r="AB144" s="51"/>
      <c r="AC144" s="51"/>
      <c r="AD144" s="51"/>
      <c r="AE144" s="51"/>
      <c r="AF144" s="51"/>
      <c r="AG144" s="51"/>
      <c r="AH144" s="51"/>
      <c r="AI144" s="64" t="s">
        <v>99</v>
      </c>
      <c r="AJ144" s="51"/>
      <c r="AK144" s="51"/>
      <c r="AL144" s="51"/>
      <c r="AM144" s="51"/>
      <c r="AN144" s="51"/>
      <c r="AO144" s="51"/>
      <c r="AP144" s="51"/>
      <c r="AQ144" s="51"/>
      <c r="AR144" s="51"/>
      <c r="AS144" s="54" t="n">
        <f aca="false">SUM(AJ145:AJ145)</f>
        <v>0</v>
      </c>
      <c r="AT144" s="54" t="n">
        <f aca="false">SUM(AK145:AK145)</f>
        <v>0</v>
      </c>
      <c r="AU144" s="54" t="n">
        <f aca="false">SUM(AL145:AL145)</f>
        <v>0</v>
      </c>
      <c r="AV144" s="51"/>
      <c r="AW144" s="51"/>
      <c r="AX144" s="51"/>
      <c r="AY144" s="51"/>
      <c r="AZ144" s="51"/>
      <c r="BA144" s="51"/>
      <c r="BB144" s="51"/>
      <c r="BC144" s="51"/>
      <c r="BD144" s="51"/>
      <c r="BE144" s="51"/>
      <c r="BF144" s="51"/>
      <c r="BG144" s="51"/>
      <c r="BH144" s="51"/>
      <c r="BI144" s="51"/>
      <c r="BJ144" s="51"/>
      <c r="BK144" s="51"/>
      <c r="BL144" s="51"/>
    </row>
    <row r="145" customFormat="false" ht="15" hidden="false" customHeight="true" outlineLevel="0" collapsed="false">
      <c r="A145" s="78" t="s">
        <v>469</v>
      </c>
      <c r="B145" s="14" t="s">
        <v>470</v>
      </c>
      <c r="C145" s="14" t="s">
        <v>471</v>
      </c>
      <c r="D145" s="14"/>
      <c r="E145" s="14"/>
      <c r="F145" s="14"/>
      <c r="G145" s="14" t="s">
        <v>111</v>
      </c>
      <c r="H145" s="79" t="n">
        <v>48</v>
      </c>
      <c r="I145" s="80" t="n">
        <v>0</v>
      </c>
      <c r="J145" s="79" t="n">
        <f aca="false">H145*AO145</f>
        <v>0</v>
      </c>
      <c r="K145" s="79" t="n">
        <f aca="false">H145*AP145</f>
        <v>0</v>
      </c>
      <c r="L145" s="79" t="n">
        <f aca="false">H145*I145</f>
        <v>0</v>
      </c>
      <c r="M145" s="81" t="s">
        <v>104</v>
      </c>
      <c r="N145" s="53"/>
      <c r="O145" s="53"/>
      <c r="P145" s="53"/>
      <c r="Q145" s="53"/>
      <c r="R145" s="53"/>
      <c r="S145" s="53"/>
      <c r="T145" s="53"/>
      <c r="U145" s="53"/>
      <c r="V145" s="53"/>
      <c r="W145" s="53"/>
      <c r="X145" s="53"/>
      <c r="Y145" s="51"/>
      <c r="Z145" s="82" t="n">
        <f aca="false">IF(AQ145="5",BJ145,0)</f>
        <v>0</v>
      </c>
      <c r="AA145" s="51"/>
      <c r="AB145" s="82" t="n">
        <f aca="false">IF(AQ145="1",BH145,0)</f>
        <v>0</v>
      </c>
      <c r="AC145" s="82" t="n">
        <f aca="false">IF(AQ145="1",BI145,0)</f>
        <v>0</v>
      </c>
      <c r="AD145" s="82" t="n">
        <f aca="false">IF(AQ145="7",BH145,0)</f>
        <v>0</v>
      </c>
      <c r="AE145" s="82" t="n">
        <f aca="false">IF(AQ145="7",BI145,0)</f>
        <v>0</v>
      </c>
      <c r="AF145" s="82" t="n">
        <f aca="false">IF(AQ145="2",BH145,0)</f>
        <v>0</v>
      </c>
      <c r="AG145" s="82" t="n">
        <f aca="false">IF(AQ145="2",BI145,0)</f>
        <v>0</v>
      </c>
      <c r="AH145" s="82" t="n">
        <f aca="false">IF(AQ145="0",BJ145,0)</f>
        <v>0</v>
      </c>
      <c r="AI145" s="64" t="s">
        <v>99</v>
      </c>
      <c r="AJ145" s="82" t="n">
        <f aca="false">IF(AN145=0,L145,0)</f>
        <v>0</v>
      </c>
      <c r="AK145" s="82" t="n">
        <f aca="false">IF(AN145=15,L145,0)</f>
        <v>0</v>
      </c>
      <c r="AL145" s="82" t="n">
        <f aca="false">IF(AN145=21,L145,0)</f>
        <v>0</v>
      </c>
      <c r="AM145" s="51"/>
      <c r="AN145" s="82" t="n">
        <v>21</v>
      </c>
      <c r="AO145" s="82" t="n">
        <f aca="false">I145*0.0631339463456252</f>
        <v>0</v>
      </c>
      <c r="AP145" s="82" t="n">
        <f aca="false">I145*(1-0.0631339463456252)</f>
        <v>0</v>
      </c>
      <c r="AQ145" s="83" t="s">
        <v>108</v>
      </c>
      <c r="AR145" s="51"/>
      <c r="AS145" s="51"/>
      <c r="AT145" s="51"/>
      <c r="AU145" s="51"/>
      <c r="AV145" s="82" t="n">
        <f aca="false">AW145+AX145</f>
        <v>0</v>
      </c>
      <c r="AW145" s="82" t="n">
        <f aca="false">H145*AO145</f>
        <v>0</v>
      </c>
      <c r="AX145" s="82" t="n">
        <f aca="false">H145*AP145</f>
        <v>0</v>
      </c>
      <c r="AY145" s="83" t="s">
        <v>472</v>
      </c>
      <c r="AZ145" s="83" t="s">
        <v>446</v>
      </c>
      <c r="BA145" s="64" t="s">
        <v>107</v>
      </c>
      <c r="BB145" s="51"/>
      <c r="BC145" s="82" t="n">
        <f aca="false">AW145+AX145</f>
        <v>0</v>
      </c>
      <c r="BD145" s="82" t="n">
        <f aca="false">I145/(100-BE145)*100</f>
        <v>0</v>
      </c>
      <c r="BE145" s="82" t="n">
        <v>0</v>
      </c>
      <c r="BF145" s="82" t="n">
        <f aca="false">145</f>
        <v>145</v>
      </c>
      <c r="BG145" s="51"/>
      <c r="BH145" s="82" t="n">
        <f aca="false">H145*AO145</f>
        <v>0</v>
      </c>
      <c r="BI145" s="82" t="n">
        <f aca="false">H145*AP145</f>
        <v>0</v>
      </c>
      <c r="BJ145" s="82" t="n">
        <f aca="false">H145*I145</f>
        <v>0</v>
      </c>
      <c r="BK145" s="82"/>
      <c r="BL145" s="82"/>
    </row>
    <row r="146" customFormat="false" ht="15" hidden="false" customHeight="true" outlineLevel="0" collapsed="false">
      <c r="A146" s="73"/>
      <c r="B146" s="74" t="s">
        <v>473</v>
      </c>
      <c r="C146" s="74" t="s">
        <v>474</v>
      </c>
      <c r="D146" s="74"/>
      <c r="E146" s="74"/>
      <c r="F146" s="74"/>
      <c r="G146" s="75" t="s">
        <v>65</v>
      </c>
      <c r="H146" s="75" t="s">
        <v>65</v>
      </c>
      <c r="I146" s="75" t="s">
        <v>65</v>
      </c>
      <c r="J146" s="76" t="n">
        <f aca="false">SUM(J147:J158)</f>
        <v>0</v>
      </c>
      <c r="K146" s="76" t="n">
        <f aca="false">SUM(K147:K158)</f>
        <v>0</v>
      </c>
      <c r="L146" s="76" t="n">
        <f aca="false">SUM(L147:L158)</f>
        <v>0</v>
      </c>
      <c r="M146" s="77"/>
      <c r="N146" s="53"/>
      <c r="O146" s="53"/>
      <c r="P146" s="53"/>
      <c r="Q146" s="53"/>
      <c r="R146" s="53"/>
      <c r="S146" s="53"/>
      <c r="T146" s="53"/>
      <c r="U146" s="53"/>
      <c r="V146" s="53"/>
      <c r="W146" s="53"/>
      <c r="X146" s="53"/>
      <c r="Y146" s="51"/>
      <c r="Z146" s="51"/>
      <c r="AA146" s="51"/>
      <c r="AB146" s="51"/>
      <c r="AC146" s="51"/>
      <c r="AD146" s="51"/>
      <c r="AE146" s="51"/>
      <c r="AF146" s="51"/>
      <c r="AG146" s="51"/>
      <c r="AH146" s="51"/>
      <c r="AI146" s="64" t="s">
        <v>99</v>
      </c>
      <c r="AJ146" s="51"/>
      <c r="AK146" s="51"/>
      <c r="AL146" s="51"/>
      <c r="AM146" s="51"/>
      <c r="AN146" s="51"/>
      <c r="AO146" s="51"/>
      <c r="AP146" s="51"/>
      <c r="AQ146" s="51"/>
      <c r="AR146" s="51"/>
      <c r="AS146" s="54" t="n">
        <f aca="false">SUM(AJ147:AJ158)</f>
        <v>0</v>
      </c>
      <c r="AT146" s="54" t="n">
        <f aca="false">SUM(AK147:AK158)</f>
        <v>0</v>
      </c>
      <c r="AU146" s="54" t="n">
        <f aca="false">SUM(AL147:AL158)</f>
        <v>0</v>
      </c>
      <c r="AV146" s="51"/>
      <c r="AW146" s="51"/>
      <c r="AX146" s="51"/>
      <c r="AY146" s="51"/>
      <c r="AZ146" s="51"/>
      <c r="BA146" s="51"/>
      <c r="BB146" s="51"/>
      <c r="BC146" s="51"/>
      <c r="BD146" s="51"/>
      <c r="BE146" s="51"/>
      <c r="BF146" s="51"/>
      <c r="BG146" s="51"/>
      <c r="BH146" s="51"/>
      <c r="BI146" s="51"/>
      <c r="BJ146" s="51"/>
      <c r="BK146" s="51"/>
      <c r="BL146" s="51"/>
    </row>
    <row r="147" customFormat="false" ht="15" hidden="false" customHeight="true" outlineLevel="0" collapsed="false">
      <c r="A147" s="78" t="s">
        <v>475</v>
      </c>
      <c r="B147" s="14" t="s">
        <v>476</v>
      </c>
      <c r="C147" s="14" t="s">
        <v>477</v>
      </c>
      <c r="D147" s="14"/>
      <c r="E147" s="14"/>
      <c r="F147" s="14"/>
      <c r="G147" s="14" t="s">
        <v>465</v>
      </c>
      <c r="H147" s="79" t="n">
        <v>3.4</v>
      </c>
      <c r="I147" s="80" t="n">
        <v>0</v>
      </c>
      <c r="J147" s="79" t="n">
        <f aca="false">H147*AO147</f>
        <v>0</v>
      </c>
      <c r="K147" s="79" t="n">
        <f aca="false">H147*AP147</f>
        <v>0</v>
      </c>
      <c r="L147" s="79" t="n">
        <f aca="false">H147*I147</f>
        <v>0</v>
      </c>
      <c r="M147" s="81" t="s">
        <v>104</v>
      </c>
      <c r="N147" s="53"/>
      <c r="O147" s="53"/>
      <c r="P147" s="53"/>
      <c r="Q147" s="53"/>
      <c r="R147" s="53"/>
      <c r="S147" s="53"/>
      <c r="T147" s="53"/>
      <c r="U147" s="53"/>
      <c r="V147" s="53"/>
      <c r="W147" s="53"/>
      <c r="X147" s="53"/>
      <c r="Y147" s="51"/>
      <c r="Z147" s="82" t="n">
        <f aca="false">IF(AQ147="5",BJ147,0)</f>
        <v>0</v>
      </c>
      <c r="AA147" s="51"/>
      <c r="AB147" s="82" t="n">
        <f aca="false">IF(AQ147="1",BH147,0)</f>
        <v>0</v>
      </c>
      <c r="AC147" s="82" t="n">
        <f aca="false">IF(AQ147="1",BI147,0)</f>
        <v>0</v>
      </c>
      <c r="AD147" s="82" t="n">
        <f aca="false">IF(AQ147="7",BH147,0)</f>
        <v>0</v>
      </c>
      <c r="AE147" s="82" t="n">
        <f aca="false">IF(AQ147="7",BI147,0)</f>
        <v>0</v>
      </c>
      <c r="AF147" s="82" t="n">
        <f aca="false">IF(AQ147="2",BH147,0)</f>
        <v>0</v>
      </c>
      <c r="AG147" s="82" t="n">
        <f aca="false">IF(AQ147="2",BI147,0)</f>
        <v>0</v>
      </c>
      <c r="AH147" s="82" t="n">
        <f aca="false">IF(AQ147="0",BJ147,0)</f>
        <v>0</v>
      </c>
      <c r="AI147" s="64" t="s">
        <v>99</v>
      </c>
      <c r="AJ147" s="82" t="n">
        <f aca="false">IF(AN147=0,L147,0)</f>
        <v>0</v>
      </c>
      <c r="AK147" s="82" t="n">
        <f aca="false">IF(AN147=15,L147,0)</f>
        <v>0</v>
      </c>
      <c r="AL147" s="82" t="n">
        <f aca="false">IF(AN147=21,L147,0)</f>
        <v>0</v>
      </c>
      <c r="AM147" s="51"/>
      <c r="AN147" s="82" t="n">
        <v>21</v>
      </c>
      <c r="AO147" s="82" t="n">
        <f aca="false">I147*0</f>
        <v>0</v>
      </c>
      <c r="AP147" s="82" t="n">
        <f aca="false">I147*(1-0)</f>
        <v>0</v>
      </c>
      <c r="AQ147" s="83" t="s">
        <v>129</v>
      </c>
      <c r="AR147" s="51"/>
      <c r="AS147" s="51"/>
      <c r="AT147" s="51"/>
      <c r="AU147" s="51"/>
      <c r="AV147" s="82" t="n">
        <f aca="false">AW147+AX147</f>
        <v>0</v>
      </c>
      <c r="AW147" s="82" t="n">
        <f aca="false">H147*AO147</f>
        <v>0</v>
      </c>
      <c r="AX147" s="82" t="n">
        <f aca="false">H147*AP147</f>
        <v>0</v>
      </c>
      <c r="AY147" s="83" t="s">
        <v>478</v>
      </c>
      <c r="AZ147" s="83" t="s">
        <v>446</v>
      </c>
      <c r="BA147" s="64" t="s">
        <v>107</v>
      </c>
      <c r="BB147" s="51"/>
      <c r="BC147" s="82" t="n">
        <f aca="false">AW147+AX147</f>
        <v>0</v>
      </c>
      <c r="BD147" s="82" t="n">
        <f aca="false">I147/(100-BE147)*100</f>
        <v>0</v>
      </c>
      <c r="BE147" s="82" t="n">
        <v>0</v>
      </c>
      <c r="BF147" s="82" t="n">
        <f aca="false">147</f>
        <v>147</v>
      </c>
      <c r="BG147" s="51"/>
      <c r="BH147" s="82" t="n">
        <f aca="false">H147*AO147</f>
        <v>0</v>
      </c>
      <c r="BI147" s="82" t="n">
        <f aca="false">H147*AP147</f>
        <v>0</v>
      </c>
      <c r="BJ147" s="82" t="n">
        <f aca="false">H147*I147</f>
        <v>0</v>
      </c>
      <c r="BK147" s="82"/>
      <c r="BL147" s="82"/>
    </row>
    <row r="148" customFormat="false" ht="15" hidden="false" customHeight="true" outlineLevel="0" collapsed="false">
      <c r="A148" s="78" t="s">
        <v>479</v>
      </c>
      <c r="B148" s="14" t="s">
        <v>480</v>
      </c>
      <c r="C148" s="14" t="s">
        <v>481</v>
      </c>
      <c r="D148" s="14"/>
      <c r="E148" s="14"/>
      <c r="F148" s="14"/>
      <c r="G148" s="14" t="s">
        <v>465</v>
      </c>
      <c r="H148" s="79" t="n">
        <v>38.4</v>
      </c>
      <c r="I148" s="80" t="n">
        <v>0</v>
      </c>
      <c r="J148" s="79" t="n">
        <f aca="false">H148*AO148</f>
        <v>0</v>
      </c>
      <c r="K148" s="79" t="n">
        <f aca="false">H148*AP148</f>
        <v>0</v>
      </c>
      <c r="L148" s="79" t="n">
        <f aca="false">H148*I148</f>
        <v>0</v>
      </c>
      <c r="M148" s="81" t="s">
        <v>104</v>
      </c>
      <c r="N148" s="53"/>
      <c r="O148" s="53"/>
      <c r="P148" s="53"/>
      <c r="Q148" s="53"/>
      <c r="R148" s="53"/>
      <c r="S148" s="53"/>
      <c r="T148" s="53"/>
      <c r="U148" s="53"/>
      <c r="V148" s="53"/>
      <c r="W148" s="53"/>
      <c r="X148" s="53"/>
      <c r="Y148" s="51"/>
      <c r="Z148" s="82" t="n">
        <f aca="false">IF(AQ148="5",BJ148,0)</f>
        <v>0</v>
      </c>
      <c r="AA148" s="51"/>
      <c r="AB148" s="82" t="n">
        <f aca="false">IF(AQ148="1",BH148,0)</f>
        <v>0</v>
      </c>
      <c r="AC148" s="82" t="n">
        <f aca="false">IF(AQ148="1",BI148,0)</f>
        <v>0</v>
      </c>
      <c r="AD148" s="82" t="n">
        <f aca="false">IF(AQ148="7",BH148,0)</f>
        <v>0</v>
      </c>
      <c r="AE148" s="82" t="n">
        <f aca="false">IF(AQ148="7",BI148,0)</f>
        <v>0</v>
      </c>
      <c r="AF148" s="82" t="n">
        <f aca="false">IF(AQ148="2",BH148,0)</f>
        <v>0</v>
      </c>
      <c r="AG148" s="82" t="n">
        <f aca="false">IF(AQ148="2",BI148,0)</f>
        <v>0</v>
      </c>
      <c r="AH148" s="82" t="n">
        <f aca="false">IF(AQ148="0",BJ148,0)</f>
        <v>0</v>
      </c>
      <c r="AI148" s="64" t="s">
        <v>99</v>
      </c>
      <c r="AJ148" s="82" t="n">
        <f aca="false">IF(AN148=0,L148,0)</f>
        <v>0</v>
      </c>
      <c r="AK148" s="82" t="n">
        <f aca="false">IF(AN148=15,L148,0)</f>
        <v>0</v>
      </c>
      <c r="AL148" s="82" t="n">
        <f aca="false">IF(AN148=21,L148,0)</f>
        <v>0</v>
      </c>
      <c r="AM148" s="51"/>
      <c r="AN148" s="82" t="n">
        <v>21</v>
      </c>
      <c r="AO148" s="82" t="n">
        <f aca="false">I148*0</f>
        <v>0</v>
      </c>
      <c r="AP148" s="82" t="n">
        <f aca="false">I148*(1-0)</f>
        <v>0</v>
      </c>
      <c r="AQ148" s="83" t="s">
        <v>129</v>
      </c>
      <c r="AR148" s="51"/>
      <c r="AS148" s="51"/>
      <c r="AT148" s="51"/>
      <c r="AU148" s="51"/>
      <c r="AV148" s="82" t="n">
        <f aca="false">AW148+AX148</f>
        <v>0</v>
      </c>
      <c r="AW148" s="82" t="n">
        <f aca="false">H148*AO148</f>
        <v>0</v>
      </c>
      <c r="AX148" s="82" t="n">
        <f aca="false">H148*AP148</f>
        <v>0</v>
      </c>
      <c r="AY148" s="83" t="s">
        <v>478</v>
      </c>
      <c r="AZ148" s="83" t="s">
        <v>446</v>
      </c>
      <c r="BA148" s="64" t="s">
        <v>107</v>
      </c>
      <c r="BB148" s="51"/>
      <c r="BC148" s="82" t="n">
        <f aca="false">AW148+AX148</f>
        <v>0</v>
      </c>
      <c r="BD148" s="82" t="n">
        <f aca="false">I148/(100-BE148)*100</f>
        <v>0</v>
      </c>
      <c r="BE148" s="82" t="n">
        <v>0</v>
      </c>
      <c r="BF148" s="82" t="n">
        <f aca="false">148</f>
        <v>148</v>
      </c>
      <c r="BG148" s="51"/>
      <c r="BH148" s="82" t="n">
        <f aca="false">H148*AO148</f>
        <v>0</v>
      </c>
      <c r="BI148" s="82" t="n">
        <f aca="false">H148*AP148</f>
        <v>0</v>
      </c>
      <c r="BJ148" s="82" t="n">
        <f aca="false">H148*I148</f>
        <v>0</v>
      </c>
      <c r="BK148" s="82"/>
      <c r="BL148" s="82"/>
    </row>
    <row r="149" customFormat="false" ht="15" hidden="false" customHeight="true" outlineLevel="0" collapsed="false">
      <c r="A149" s="78" t="s">
        <v>482</v>
      </c>
      <c r="B149" s="14" t="s">
        <v>483</v>
      </c>
      <c r="C149" s="14" t="s">
        <v>484</v>
      </c>
      <c r="D149" s="14"/>
      <c r="E149" s="14"/>
      <c r="F149" s="14"/>
      <c r="G149" s="14" t="s">
        <v>465</v>
      </c>
      <c r="H149" s="79" t="n">
        <v>3.4</v>
      </c>
      <c r="I149" s="80" t="n">
        <v>0</v>
      </c>
      <c r="J149" s="79" t="n">
        <f aca="false">H149*AO149</f>
        <v>0</v>
      </c>
      <c r="K149" s="79" t="n">
        <f aca="false">H149*AP149</f>
        <v>0</v>
      </c>
      <c r="L149" s="79" t="n">
        <f aca="false">H149*I149</f>
        <v>0</v>
      </c>
      <c r="M149" s="81" t="s">
        <v>104</v>
      </c>
      <c r="N149" s="53"/>
      <c r="O149" s="53"/>
      <c r="P149" s="53"/>
      <c r="Q149" s="53"/>
      <c r="R149" s="53"/>
      <c r="S149" s="53"/>
      <c r="T149" s="53"/>
      <c r="U149" s="53"/>
      <c r="V149" s="53"/>
      <c r="W149" s="53"/>
      <c r="X149" s="53"/>
      <c r="Y149" s="51"/>
      <c r="Z149" s="82" t="n">
        <f aca="false">IF(AQ149="5",BJ149,0)</f>
        <v>0</v>
      </c>
      <c r="AA149" s="51"/>
      <c r="AB149" s="82" t="n">
        <f aca="false">IF(AQ149="1",BH149,0)</f>
        <v>0</v>
      </c>
      <c r="AC149" s="82" t="n">
        <f aca="false">IF(AQ149="1",BI149,0)</f>
        <v>0</v>
      </c>
      <c r="AD149" s="82" t="n">
        <f aca="false">IF(AQ149="7",BH149,0)</f>
        <v>0</v>
      </c>
      <c r="AE149" s="82" t="n">
        <f aca="false">IF(AQ149="7",BI149,0)</f>
        <v>0</v>
      </c>
      <c r="AF149" s="82" t="n">
        <f aca="false">IF(AQ149="2",BH149,0)</f>
        <v>0</v>
      </c>
      <c r="AG149" s="82" t="n">
        <f aca="false">IF(AQ149="2",BI149,0)</f>
        <v>0</v>
      </c>
      <c r="AH149" s="82" t="n">
        <f aca="false">IF(AQ149="0",BJ149,0)</f>
        <v>0</v>
      </c>
      <c r="AI149" s="64" t="s">
        <v>99</v>
      </c>
      <c r="AJ149" s="82" t="n">
        <f aca="false">IF(AN149=0,L149,0)</f>
        <v>0</v>
      </c>
      <c r="AK149" s="82" t="n">
        <f aca="false">IF(AN149=15,L149,0)</f>
        <v>0</v>
      </c>
      <c r="AL149" s="82" t="n">
        <f aca="false">IF(AN149=21,L149,0)</f>
        <v>0</v>
      </c>
      <c r="AM149" s="51"/>
      <c r="AN149" s="82" t="n">
        <v>21</v>
      </c>
      <c r="AO149" s="82" t="n">
        <f aca="false">I149*0</f>
        <v>0</v>
      </c>
      <c r="AP149" s="82" t="n">
        <f aca="false">I149*(1-0)</f>
        <v>0</v>
      </c>
      <c r="AQ149" s="83" t="s">
        <v>129</v>
      </c>
      <c r="AR149" s="51"/>
      <c r="AS149" s="51"/>
      <c r="AT149" s="51"/>
      <c r="AU149" s="51"/>
      <c r="AV149" s="82" t="n">
        <f aca="false">AW149+AX149</f>
        <v>0</v>
      </c>
      <c r="AW149" s="82" t="n">
        <f aca="false">H149*AO149</f>
        <v>0</v>
      </c>
      <c r="AX149" s="82" t="n">
        <f aca="false">H149*AP149</f>
        <v>0</v>
      </c>
      <c r="AY149" s="83" t="s">
        <v>478</v>
      </c>
      <c r="AZ149" s="83" t="s">
        <v>446</v>
      </c>
      <c r="BA149" s="64" t="s">
        <v>107</v>
      </c>
      <c r="BB149" s="51"/>
      <c r="BC149" s="82" t="n">
        <f aca="false">AW149+AX149</f>
        <v>0</v>
      </c>
      <c r="BD149" s="82" t="n">
        <f aca="false">I149/(100-BE149)*100</f>
        <v>0</v>
      </c>
      <c r="BE149" s="82" t="n">
        <v>0</v>
      </c>
      <c r="BF149" s="82" t="n">
        <f aca="false">149</f>
        <v>149</v>
      </c>
      <c r="BG149" s="51"/>
      <c r="BH149" s="82" t="n">
        <f aca="false">H149*AO149</f>
        <v>0</v>
      </c>
      <c r="BI149" s="82" t="n">
        <f aca="false">H149*AP149</f>
        <v>0</v>
      </c>
      <c r="BJ149" s="82" t="n">
        <f aca="false">H149*I149</f>
        <v>0</v>
      </c>
      <c r="BK149" s="82"/>
      <c r="BL149" s="82"/>
    </row>
    <row r="150" customFormat="false" ht="15" hidden="false" customHeight="true" outlineLevel="0" collapsed="false">
      <c r="A150" s="78" t="s">
        <v>485</v>
      </c>
      <c r="B150" s="14" t="s">
        <v>486</v>
      </c>
      <c r="C150" s="14" t="s">
        <v>487</v>
      </c>
      <c r="D150" s="14"/>
      <c r="E150" s="14"/>
      <c r="F150" s="14"/>
      <c r="G150" s="14" t="s">
        <v>465</v>
      </c>
      <c r="H150" s="79" t="n">
        <v>35</v>
      </c>
      <c r="I150" s="80" t="n">
        <v>0</v>
      </c>
      <c r="J150" s="79" t="n">
        <f aca="false">H150*AO150</f>
        <v>0</v>
      </c>
      <c r="K150" s="79" t="n">
        <f aca="false">H150*AP150</f>
        <v>0</v>
      </c>
      <c r="L150" s="79" t="n">
        <f aca="false">H150*I150</f>
        <v>0</v>
      </c>
      <c r="M150" s="81" t="s">
        <v>104</v>
      </c>
      <c r="N150" s="53"/>
      <c r="O150" s="53"/>
      <c r="P150" s="53"/>
      <c r="Q150" s="53"/>
      <c r="R150" s="53"/>
      <c r="S150" s="53"/>
      <c r="T150" s="53"/>
      <c r="U150" s="53"/>
      <c r="V150" s="53"/>
      <c r="W150" s="53"/>
      <c r="X150" s="53"/>
      <c r="Y150" s="51"/>
      <c r="Z150" s="82" t="n">
        <f aca="false">IF(AQ150="5",BJ150,0)</f>
        <v>0</v>
      </c>
      <c r="AA150" s="51"/>
      <c r="AB150" s="82" t="n">
        <f aca="false">IF(AQ150="1",BH150,0)</f>
        <v>0</v>
      </c>
      <c r="AC150" s="82" t="n">
        <f aca="false">IF(AQ150="1",BI150,0)</f>
        <v>0</v>
      </c>
      <c r="AD150" s="82" t="n">
        <f aca="false">IF(AQ150="7",BH150,0)</f>
        <v>0</v>
      </c>
      <c r="AE150" s="82" t="n">
        <f aca="false">IF(AQ150="7",BI150,0)</f>
        <v>0</v>
      </c>
      <c r="AF150" s="82" t="n">
        <f aca="false">IF(AQ150="2",BH150,0)</f>
        <v>0</v>
      </c>
      <c r="AG150" s="82" t="n">
        <f aca="false">IF(AQ150="2",BI150,0)</f>
        <v>0</v>
      </c>
      <c r="AH150" s="82" t="n">
        <f aca="false">IF(AQ150="0",BJ150,0)</f>
        <v>0</v>
      </c>
      <c r="AI150" s="64" t="s">
        <v>99</v>
      </c>
      <c r="AJ150" s="82" t="n">
        <f aca="false">IF(AN150=0,L150,0)</f>
        <v>0</v>
      </c>
      <c r="AK150" s="82" t="n">
        <f aca="false">IF(AN150=15,L150,0)</f>
        <v>0</v>
      </c>
      <c r="AL150" s="82" t="n">
        <f aca="false">IF(AN150=21,L150,0)</f>
        <v>0</v>
      </c>
      <c r="AM150" s="51"/>
      <c r="AN150" s="82" t="n">
        <v>21</v>
      </c>
      <c r="AO150" s="82" t="n">
        <f aca="false">I150*0</f>
        <v>0</v>
      </c>
      <c r="AP150" s="82" t="n">
        <f aca="false">I150*(1-0)</f>
        <v>0</v>
      </c>
      <c r="AQ150" s="83" t="s">
        <v>129</v>
      </c>
      <c r="AR150" s="51"/>
      <c r="AS150" s="51"/>
      <c r="AT150" s="51"/>
      <c r="AU150" s="51"/>
      <c r="AV150" s="82" t="n">
        <f aca="false">AW150+AX150</f>
        <v>0</v>
      </c>
      <c r="AW150" s="82" t="n">
        <f aca="false">H150*AO150</f>
        <v>0</v>
      </c>
      <c r="AX150" s="82" t="n">
        <f aca="false">H150*AP150</f>
        <v>0</v>
      </c>
      <c r="AY150" s="83" t="s">
        <v>478</v>
      </c>
      <c r="AZ150" s="83" t="s">
        <v>446</v>
      </c>
      <c r="BA150" s="64" t="s">
        <v>107</v>
      </c>
      <c r="BB150" s="51"/>
      <c r="BC150" s="82" t="n">
        <f aca="false">AW150+AX150</f>
        <v>0</v>
      </c>
      <c r="BD150" s="82" t="n">
        <f aca="false">I150/(100-BE150)*100</f>
        <v>0</v>
      </c>
      <c r="BE150" s="82" t="n">
        <v>0</v>
      </c>
      <c r="BF150" s="82" t="n">
        <f aca="false">150</f>
        <v>150</v>
      </c>
      <c r="BG150" s="51"/>
      <c r="BH150" s="82" t="n">
        <f aca="false">H150*AO150</f>
        <v>0</v>
      </c>
      <c r="BI150" s="82" t="n">
        <f aca="false">H150*AP150</f>
        <v>0</v>
      </c>
      <c r="BJ150" s="82" t="n">
        <f aca="false">H150*I150</f>
        <v>0</v>
      </c>
      <c r="BK150" s="82"/>
      <c r="BL150" s="82"/>
    </row>
    <row r="151" customFormat="false" ht="15" hidden="false" customHeight="true" outlineLevel="0" collapsed="false">
      <c r="A151" s="78" t="s">
        <v>488</v>
      </c>
      <c r="B151" s="14" t="s">
        <v>489</v>
      </c>
      <c r="C151" s="14" t="s">
        <v>490</v>
      </c>
      <c r="D151" s="14"/>
      <c r="E151" s="14"/>
      <c r="F151" s="14"/>
      <c r="G151" s="14" t="s">
        <v>465</v>
      </c>
      <c r="H151" s="79" t="n">
        <v>15</v>
      </c>
      <c r="I151" s="80" t="n">
        <v>0</v>
      </c>
      <c r="J151" s="79" t="n">
        <f aca="false">H151*AO151</f>
        <v>0</v>
      </c>
      <c r="K151" s="79" t="n">
        <f aca="false">H151*AP151</f>
        <v>0</v>
      </c>
      <c r="L151" s="79" t="n">
        <f aca="false">H151*I151</f>
        <v>0</v>
      </c>
      <c r="M151" s="81" t="s">
        <v>104</v>
      </c>
      <c r="N151" s="53"/>
      <c r="O151" s="53"/>
      <c r="P151" s="53"/>
      <c r="Q151" s="53"/>
      <c r="R151" s="53"/>
      <c r="S151" s="53"/>
      <c r="T151" s="53"/>
      <c r="U151" s="53"/>
      <c r="V151" s="53"/>
      <c r="W151" s="53"/>
      <c r="X151" s="53"/>
      <c r="Y151" s="51"/>
      <c r="Z151" s="82" t="n">
        <f aca="false">IF(AQ151="5",BJ151,0)</f>
        <v>0</v>
      </c>
      <c r="AA151" s="51"/>
      <c r="AB151" s="82" t="n">
        <f aca="false">IF(AQ151="1",BH151,0)</f>
        <v>0</v>
      </c>
      <c r="AC151" s="82" t="n">
        <f aca="false">IF(AQ151="1",BI151,0)</f>
        <v>0</v>
      </c>
      <c r="AD151" s="82" t="n">
        <f aca="false">IF(AQ151="7",BH151,0)</f>
        <v>0</v>
      </c>
      <c r="AE151" s="82" t="n">
        <f aca="false">IF(AQ151="7",BI151,0)</f>
        <v>0</v>
      </c>
      <c r="AF151" s="82" t="n">
        <f aca="false">IF(AQ151="2",BH151,0)</f>
        <v>0</v>
      </c>
      <c r="AG151" s="82" t="n">
        <f aca="false">IF(AQ151="2",BI151,0)</f>
        <v>0</v>
      </c>
      <c r="AH151" s="82" t="n">
        <f aca="false">IF(AQ151="0",BJ151,0)</f>
        <v>0</v>
      </c>
      <c r="AI151" s="64" t="s">
        <v>99</v>
      </c>
      <c r="AJ151" s="82" t="n">
        <f aca="false">IF(AN151=0,L151,0)</f>
        <v>0</v>
      </c>
      <c r="AK151" s="82" t="n">
        <f aca="false">IF(AN151=15,L151,0)</f>
        <v>0</v>
      </c>
      <c r="AL151" s="82" t="n">
        <f aca="false">IF(AN151=21,L151,0)</f>
        <v>0</v>
      </c>
      <c r="AM151" s="51"/>
      <c r="AN151" s="82" t="n">
        <v>21</v>
      </c>
      <c r="AO151" s="82" t="n">
        <f aca="false">I151*0</f>
        <v>0</v>
      </c>
      <c r="AP151" s="82" t="n">
        <f aca="false">I151*(1-0)</f>
        <v>0</v>
      </c>
      <c r="AQ151" s="83" t="s">
        <v>129</v>
      </c>
      <c r="AR151" s="51"/>
      <c r="AS151" s="51"/>
      <c r="AT151" s="51"/>
      <c r="AU151" s="51"/>
      <c r="AV151" s="82" t="n">
        <f aca="false">AW151+AX151</f>
        <v>0</v>
      </c>
      <c r="AW151" s="82" t="n">
        <f aca="false">H151*AO151</f>
        <v>0</v>
      </c>
      <c r="AX151" s="82" t="n">
        <f aca="false">H151*AP151</f>
        <v>0</v>
      </c>
      <c r="AY151" s="83" t="s">
        <v>478</v>
      </c>
      <c r="AZ151" s="83" t="s">
        <v>446</v>
      </c>
      <c r="BA151" s="64" t="s">
        <v>107</v>
      </c>
      <c r="BB151" s="51"/>
      <c r="BC151" s="82" t="n">
        <f aca="false">AW151+AX151</f>
        <v>0</v>
      </c>
      <c r="BD151" s="82" t="n">
        <f aca="false">I151/(100-BE151)*100</f>
        <v>0</v>
      </c>
      <c r="BE151" s="82" t="n">
        <v>0</v>
      </c>
      <c r="BF151" s="82" t="n">
        <f aca="false">151</f>
        <v>151</v>
      </c>
      <c r="BG151" s="51"/>
      <c r="BH151" s="82" t="n">
        <f aca="false">H151*AO151</f>
        <v>0</v>
      </c>
      <c r="BI151" s="82" t="n">
        <f aca="false">H151*AP151</f>
        <v>0</v>
      </c>
      <c r="BJ151" s="82" t="n">
        <f aca="false">H151*I151</f>
        <v>0</v>
      </c>
      <c r="BK151" s="82"/>
      <c r="BL151" s="82"/>
    </row>
    <row r="152" customFormat="false" ht="15" hidden="false" customHeight="true" outlineLevel="0" collapsed="false">
      <c r="A152" s="78" t="s">
        <v>491</v>
      </c>
      <c r="B152" s="14" t="s">
        <v>492</v>
      </c>
      <c r="C152" s="14" t="s">
        <v>493</v>
      </c>
      <c r="D152" s="14"/>
      <c r="E152" s="14"/>
      <c r="F152" s="14"/>
      <c r="G152" s="14" t="s">
        <v>465</v>
      </c>
      <c r="H152" s="79" t="n">
        <v>38.4</v>
      </c>
      <c r="I152" s="80" t="n">
        <v>0</v>
      </c>
      <c r="J152" s="79" t="n">
        <f aca="false">H152*AO152</f>
        <v>0</v>
      </c>
      <c r="K152" s="79" t="n">
        <f aca="false">H152*AP152</f>
        <v>0</v>
      </c>
      <c r="L152" s="79" t="n">
        <f aca="false">H152*I152</f>
        <v>0</v>
      </c>
      <c r="M152" s="81" t="s">
        <v>104</v>
      </c>
      <c r="N152" s="53"/>
      <c r="O152" s="53"/>
      <c r="P152" s="53"/>
      <c r="Q152" s="53"/>
      <c r="R152" s="53"/>
      <c r="S152" s="53"/>
      <c r="T152" s="53"/>
      <c r="U152" s="53"/>
      <c r="V152" s="53"/>
      <c r="W152" s="53"/>
      <c r="X152" s="53"/>
      <c r="Y152" s="51"/>
      <c r="Z152" s="82" t="n">
        <f aca="false">IF(AQ152="5",BJ152,0)</f>
        <v>0</v>
      </c>
      <c r="AA152" s="51"/>
      <c r="AB152" s="82" t="n">
        <f aca="false">IF(AQ152="1",BH152,0)</f>
        <v>0</v>
      </c>
      <c r="AC152" s="82" t="n">
        <f aca="false">IF(AQ152="1",BI152,0)</f>
        <v>0</v>
      </c>
      <c r="AD152" s="82" t="n">
        <f aca="false">IF(AQ152="7",BH152,0)</f>
        <v>0</v>
      </c>
      <c r="AE152" s="82" t="n">
        <f aca="false">IF(AQ152="7",BI152,0)</f>
        <v>0</v>
      </c>
      <c r="AF152" s="82" t="n">
        <f aca="false">IF(AQ152="2",BH152,0)</f>
        <v>0</v>
      </c>
      <c r="AG152" s="82" t="n">
        <f aca="false">IF(AQ152="2",BI152,0)</f>
        <v>0</v>
      </c>
      <c r="AH152" s="82" t="n">
        <f aca="false">IF(AQ152="0",BJ152,0)</f>
        <v>0</v>
      </c>
      <c r="AI152" s="64" t="s">
        <v>99</v>
      </c>
      <c r="AJ152" s="82" t="n">
        <f aca="false">IF(AN152=0,L152,0)</f>
        <v>0</v>
      </c>
      <c r="AK152" s="82" t="n">
        <f aca="false">IF(AN152=15,L152,0)</f>
        <v>0</v>
      </c>
      <c r="AL152" s="82" t="n">
        <f aca="false">IF(AN152=21,L152,0)</f>
        <v>0</v>
      </c>
      <c r="AM152" s="51"/>
      <c r="AN152" s="82" t="n">
        <v>21</v>
      </c>
      <c r="AO152" s="82" t="n">
        <f aca="false">I152*0</f>
        <v>0</v>
      </c>
      <c r="AP152" s="82" t="n">
        <f aca="false">I152*(1-0)</f>
        <v>0</v>
      </c>
      <c r="AQ152" s="83" t="s">
        <v>129</v>
      </c>
      <c r="AR152" s="51"/>
      <c r="AS152" s="51"/>
      <c r="AT152" s="51"/>
      <c r="AU152" s="51"/>
      <c r="AV152" s="82" t="n">
        <f aca="false">AW152+AX152</f>
        <v>0</v>
      </c>
      <c r="AW152" s="82" t="n">
        <f aca="false">H152*AO152</f>
        <v>0</v>
      </c>
      <c r="AX152" s="82" t="n">
        <f aca="false">H152*AP152</f>
        <v>0</v>
      </c>
      <c r="AY152" s="83" t="s">
        <v>478</v>
      </c>
      <c r="AZ152" s="83" t="s">
        <v>446</v>
      </c>
      <c r="BA152" s="64" t="s">
        <v>107</v>
      </c>
      <c r="BB152" s="51"/>
      <c r="BC152" s="82" t="n">
        <f aca="false">AW152+AX152</f>
        <v>0</v>
      </c>
      <c r="BD152" s="82" t="n">
        <f aca="false">I152/(100-BE152)*100</f>
        <v>0</v>
      </c>
      <c r="BE152" s="82" t="n">
        <v>0</v>
      </c>
      <c r="BF152" s="82" t="n">
        <f aca="false">152</f>
        <v>152</v>
      </c>
      <c r="BG152" s="51"/>
      <c r="BH152" s="82" t="n">
        <f aca="false">H152*AO152</f>
        <v>0</v>
      </c>
      <c r="BI152" s="82" t="n">
        <f aca="false">H152*AP152</f>
        <v>0</v>
      </c>
      <c r="BJ152" s="82" t="n">
        <f aca="false">H152*I152</f>
        <v>0</v>
      </c>
      <c r="BK152" s="82"/>
      <c r="BL152" s="82"/>
    </row>
    <row r="153" customFormat="false" ht="15" hidden="false" customHeight="true" outlineLevel="0" collapsed="false">
      <c r="A153" s="78" t="s">
        <v>494</v>
      </c>
      <c r="B153" s="14" t="s">
        <v>495</v>
      </c>
      <c r="C153" s="14" t="s">
        <v>496</v>
      </c>
      <c r="D153" s="14"/>
      <c r="E153" s="14"/>
      <c r="F153" s="14"/>
      <c r="G153" s="14" t="s">
        <v>465</v>
      </c>
      <c r="H153" s="79" t="n">
        <v>38.4</v>
      </c>
      <c r="I153" s="80" t="n">
        <v>0</v>
      </c>
      <c r="J153" s="79" t="n">
        <f aca="false">H153*AO153</f>
        <v>0</v>
      </c>
      <c r="K153" s="79" t="n">
        <f aca="false">H153*AP153</f>
        <v>0</v>
      </c>
      <c r="L153" s="79" t="n">
        <f aca="false">H153*I153</f>
        <v>0</v>
      </c>
      <c r="M153" s="81" t="s">
        <v>104</v>
      </c>
      <c r="N153" s="53"/>
      <c r="O153" s="53"/>
      <c r="P153" s="53"/>
      <c r="Q153" s="53"/>
      <c r="R153" s="53"/>
      <c r="S153" s="53"/>
      <c r="T153" s="53"/>
      <c r="U153" s="53"/>
      <c r="V153" s="53"/>
      <c r="W153" s="53"/>
      <c r="X153" s="53"/>
      <c r="Y153" s="51"/>
      <c r="Z153" s="82" t="n">
        <f aca="false">IF(AQ153="5",BJ153,0)</f>
        <v>0</v>
      </c>
      <c r="AA153" s="51"/>
      <c r="AB153" s="82" t="n">
        <f aca="false">IF(AQ153="1",BH153,0)</f>
        <v>0</v>
      </c>
      <c r="AC153" s="82" t="n">
        <f aca="false">IF(AQ153="1",BI153,0)</f>
        <v>0</v>
      </c>
      <c r="AD153" s="82" t="n">
        <f aca="false">IF(AQ153="7",BH153,0)</f>
        <v>0</v>
      </c>
      <c r="AE153" s="82" t="n">
        <f aca="false">IF(AQ153="7",BI153,0)</f>
        <v>0</v>
      </c>
      <c r="AF153" s="82" t="n">
        <f aca="false">IF(AQ153="2",BH153,0)</f>
        <v>0</v>
      </c>
      <c r="AG153" s="82" t="n">
        <f aca="false">IF(AQ153="2",BI153,0)</f>
        <v>0</v>
      </c>
      <c r="AH153" s="82" t="n">
        <f aca="false">IF(AQ153="0",BJ153,0)</f>
        <v>0</v>
      </c>
      <c r="AI153" s="64" t="s">
        <v>99</v>
      </c>
      <c r="AJ153" s="82" t="n">
        <f aca="false">IF(AN153=0,L153,0)</f>
        <v>0</v>
      </c>
      <c r="AK153" s="82" t="n">
        <f aca="false">IF(AN153=15,L153,0)</f>
        <v>0</v>
      </c>
      <c r="AL153" s="82" t="n">
        <f aca="false">IF(AN153=21,L153,0)</f>
        <v>0</v>
      </c>
      <c r="AM153" s="51"/>
      <c r="AN153" s="82" t="n">
        <v>21</v>
      </c>
      <c r="AO153" s="82" t="n">
        <f aca="false">I153*0</f>
        <v>0</v>
      </c>
      <c r="AP153" s="82" t="n">
        <f aca="false">I153*(1-0)</f>
        <v>0</v>
      </c>
      <c r="AQ153" s="83" t="s">
        <v>129</v>
      </c>
      <c r="AR153" s="51"/>
      <c r="AS153" s="51"/>
      <c r="AT153" s="51"/>
      <c r="AU153" s="51"/>
      <c r="AV153" s="82" t="n">
        <f aca="false">AW153+AX153</f>
        <v>0</v>
      </c>
      <c r="AW153" s="82" t="n">
        <f aca="false">H153*AO153</f>
        <v>0</v>
      </c>
      <c r="AX153" s="82" t="n">
        <f aca="false">H153*AP153</f>
        <v>0</v>
      </c>
      <c r="AY153" s="83" t="s">
        <v>478</v>
      </c>
      <c r="AZ153" s="83" t="s">
        <v>446</v>
      </c>
      <c r="BA153" s="64" t="s">
        <v>107</v>
      </c>
      <c r="BB153" s="51"/>
      <c r="BC153" s="82" t="n">
        <f aca="false">AW153+AX153</f>
        <v>0</v>
      </c>
      <c r="BD153" s="82" t="n">
        <f aca="false">I153/(100-BE153)*100</f>
        <v>0</v>
      </c>
      <c r="BE153" s="82" t="n">
        <v>0</v>
      </c>
      <c r="BF153" s="82" t="n">
        <f aca="false">153</f>
        <v>153</v>
      </c>
      <c r="BG153" s="51"/>
      <c r="BH153" s="82" t="n">
        <f aca="false">H153*AO153</f>
        <v>0</v>
      </c>
      <c r="BI153" s="82" t="n">
        <f aca="false">H153*AP153</f>
        <v>0</v>
      </c>
      <c r="BJ153" s="82" t="n">
        <f aca="false">H153*I153</f>
        <v>0</v>
      </c>
      <c r="BK153" s="82"/>
      <c r="BL153" s="82"/>
    </row>
    <row r="154" customFormat="false" ht="15" hidden="false" customHeight="true" outlineLevel="0" collapsed="false">
      <c r="A154" s="78" t="s">
        <v>497</v>
      </c>
      <c r="B154" s="14" t="s">
        <v>498</v>
      </c>
      <c r="C154" s="14" t="s">
        <v>499</v>
      </c>
      <c r="D154" s="14"/>
      <c r="E154" s="14"/>
      <c r="F154" s="14"/>
      <c r="G154" s="14" t="s">
        <v>465</v>
      </c>
      <c r="H154" s="79" t="n">
        <v>38.4</v>
      </c>
      <c r="I154" s="80" t="n">
        <v>0</v>
      </c>
      <c r="J154" s="79" t="n">
        <f aca="false">H154*AO154</f>
        <v>0</v>
      </c>
      <c r="K154" s="79" t="n">
        <f aca="false">H154*AP154</f>
        <v>0</v>
      </c>
      <c r="L154" s="79" t="n">
        <f aca="false">H154*I154</f>
        <v>0</v>
      </c>
      <c r="M154" s="81" t="s">
        <v>104</v>
      </c>
      <c r="N154" s="53"/>
      <c r="O154" s="53"/>
      <c r="P154" s="53"/>
      <c r="Q154" s="53"/>
      <c r="R154" s="53"/>
      <c r="S154" s="53"/>
      <c r="T154" s="53"/>
      <c r="U154" s="53"/>
      <c r="V154" s="53"/>
      <c r="W154" s="53"/>
      <c r="X154" s="53"/>
      <c r="Y154" s="51"/>
      <c r="Z154" s="82" t="n">
        <f aca="false">IF(AQ154="5",BJ154,0)</f>
        <v>0</v>
      </c>
      <c r="AA154" s="51"/>
      <c r="AB154" s="82" t="n">
        <f aca="false">IF(AQ154="1",BH154,0)</f>
        <v>0</v>
      </c>
      <c r="AC154" s="82" t="n">
        <f aca="false">IF(AQ154="1",BI154,0)</f>
        <v>0</v>
      </c>
      <c r="AD154" s="82" t="n">
        <f aca="false">IF(AQ154="7",BH154,0)</f>
        <v>0</v>
      </c>
      <c r="AE154" s="82" t="n">
        <f aca="false">IF(AQ154="7",BI154,0)</f>
        <v>0</v>
      </c>
      <c r="AF154" s="82" t="n">
        <f aca="false">IF(AQ154="2",BH154,0)</f>
        <v>0</v>
      </c>
      <c r="AG154" s="82" t="n">
        <f aca="false">IF(AQ154="2",BI154,0)</f>
        <v>0</v>
      </c>
      <c r="AH154" s="82" t="n">
        <f aca="false">IF(AQ154="0",BJ154,0)</f>
        <v>0</v>
      </c>
      <c r="AI154" s="64" t="s">
        <v>99</v>
      </c>
      <c r="AJ154" s="82" t="n">
        <f aca="false">IF(AN154=0,L154,0)</f>
        <v>0</v>
      </c>
      <c r="AK154" s="82" t="n">
        <f aca="false">IF(AN154=15,L154,0)</f>
        <v>0</v>
      </c>
      <c r="AL154" s="82" t="n">
        <f aca="false">IF(AN154=21,L154,0)</f>
        <v>0</v>
      </c>
      <c r="AM154" s="51"/>
      <c r="AN154" s="82" t="n">
        <v>21</v>
      </c>
      <c r="AO154" s="82" t="n">
        <f aca="false">I154*0</f>
        <v>0</v>
      </c>
      <c r="AP154" s="82" t="n">
        <f aca="false">I154*(1-0)</f>
        <v>0</v>
      </c>
      <c r="AQ154" s="83" t="s">
        <v>129</v>
      </c>
      <c r="AR154" s="51"/>
      <c r="AS154" s="51"/>
      <c r="AT154" s="51"/>
      <c r="AU154" s="51"/>
      <c r="AV154" s="82" t="n">
        <f aca="false">AW154+AX154</f>
        <v>0</v>
      </c>
      <c r="AW154" s="82" t="n">
        <f aca="false">H154*AO154</f>
        <v>0</v>
      </c>
      <c r="AX154" s="82" t="n">
        <f aca="false">H154*AP154</f>
        <v>0</v>
      </c>
      <c r="AY154" s="83" t="s">
        <v>478</v>
      </c>
      <c r="AZ154" s="83" t="s">
        <v>446</v>
      </c>
      <c r="BA154" s="64" t="s">
        <v>107</v>
      </c>
      <c r="BB154" s="51"/>
      <c r="BC154" s="82" t="n">
        <f aca="false">AW154+AX154</f>
        <v>0</v>
      </c>
      <c r="BD154" s="82" t="n">
        <f aca="false">I154/(100-BE154)*100</f>
        <v>0</v>
      </c>
      <c r="BE154" s="82" t="n">
        <v>0</v>
      </c>
      <c r="BF154" s="82" t="n">
        <f aca="false">154</f>
        <v>154</v>
      </c>
      <c r="BG154" s="51"/>
      <c r="BH154" s="82" t="n">
        <f aca="false">H154*AO154</f>
        <v>0</v>
      </c>
      <c r="BI154" s="82" t="n">
        <f aca="false">H154*AP154</f>
        <v>0</v>
      </c>
      <c r="BJ154" s="82" t="n">
        <f aca="false">H154*I154</f>
        <v>0</v>
      </c>
      <c r="BK154" s="82"/>
      <c r="BL154" s="82"/>
    </row>
    <row r="155" customFormat="false" ht="15" hidden="false" customHeight="true" outlineLevel="0" collapsed="false">
      <c r="A155" s="78" t="s">
        <v>500</v>
      </c>
      <c r="B155" s="14" t="s">
        <v>501</v>
      </c>
      <c r="C155" s="14" t="s">
        <v>502</v>
      </c>
      <c r="D155" s="14"/>
      <c r="E155" s="14"/>
      <c r="F155" s="14"/>
      <c r="G155" s="14" t="s">
        <v>465</v>
      </c>
      <c r="H155" s="79" t="n">
        <v>35</v>
      </c>
      <c r="I155" s="80" t="n">
        <v>0</v>
      </c>
      <c r="J155" s="79" t="n">
        <f aca="false">H155*AO155</f>
        <v>0</v>
      </c>
      <c r="K155" s="79" t="n">
        <f aca="false">H155*AP155</f>
        <v>0</v>
      </c>
      <c r="L155" s="79" t="n">
        <f aca="false">H155*I155</f>
        <v>0</v>
      </c>
      <c r="M155" s="81" t="s">
        <v>104</v>
      </c>
      <c r="N155" s="53"/>
      <c r="O155" s="53"/>
      <c r="P155" s="53"/>
      <c r="Q155" s="53"/>
      <c r="R155" s="53"/>
      <c r="S155" s="53"/>
      <c r="T155" s="53"/>
      <c r="U155" s="53"/>
      <c r="V155" s="53"/>
      <c r="W155" s="53"/>
      <c r="X155" s="53"/>
      <c r="Y155" s="51"/>
      <c r="Z155" s="82" t="n">
        <f aca="false">IF(AQ155="5",BJ155,0)</f>
        <v>0</v>
      </c>
      <c r="AA155" s="51"/>
      <c r="AB155" s="82" t="n">
        <f aca="false">IF(AQ155="1",BH155,0)</f>
        <v>0</v>
      </c>
      <c r="AC155" s="82" t="n">
        <f aca="false">IF(AQ155="1",BI155,0)</f>
        <v>0</v>
      </c>
      <c r="AD155" s="82" t="n">
        <f aca="false">IF(AQ155="7",BH155,0)</f>
        <v>0</v>
      </c>
      <c r="AE155" s="82" t="n">
        <f aca="false">IF(AQ155="7",BI155,0)</f>
        <v>0</v>
      </c>
      <c r="AF155" s="82" t="n">
        <f aca="false">IF(AQ155="2",BH155,0)</f>
        <v>0</v>
      </c>
      <c r="AG155" s="82" t="n">
        <f aca="false">IF(AQ155="2",BI155,0)</f>
        <v>0</v>
      </c>
      <c r="AH155" s="82" t="n">
        <f aca="false">IF(AQ155="0",BJ155,0)</f>
        <v>0</v>
      </c>
      <c r="AI155" s="64" t="s">
        <v>99</v>
      </c>
      <c r="AJ155" s="82" t="n">
        <f aca="false">IF(AN155=0,L155,0)</f>
        <v>0</v>
      </c>
      <c r="AK155" s="82" t="n">
        <f aca="false">IF(AN155=15,L155,0)</f>
        <v>0</v>
      </c>
      <c r="AL155" s="82" t="n">
        <f aca="false">IF(AN155=21,L155,0)</f>
        <v>0</v>
      </c>
      <c r="AM155" s="51"/>
      <c r="AN155" s="82" t="n">
        <v>21</v>
      </c>
      <c r="AO155" s="82" t="n">
        <f aca="false">I155*0</f>
        <v>0</v>
      </c>
      <c r="AP155" s="82" t="n">
        <f aca="false">I155*(1-0)</f>
        <v>0</v>
      </c>
      <c r="AQ155" s="83" t="s">
        <v>129</v>
      </c>
      <c r="AR155" s="51"/>
      <c r="AS155" s="51"/>
      <c r="AT155" s="51"/>
      <c r="AU155" s="51"/>
      <c r="AV155" s="82" t="n">
        <f aca="false">AW155+AX155</f>
        <v>0</v>
      </c>
      <c r="AW155" s="82" t="n">
        <f aca="false">H155*AO155</f>
        <v>0</v>
      </c>
      <c r="AX155" s="82" t="n">
        <f aca="false">H155*AP155</f>
        <v>0</v>
      </c>
      <c r="AY155" s="83" t="s">
        <v>478</v>
      </c>
      <c r="AZ155" s="83" t="s">
        <v>446</v>
      </c>
      <c r="BA155" s="64" t="s">
        <v>107</v>
      </c>
      <c r="BB155" s="51"/>
      <c r="BC155" s="82" t="n">
        <f aca="false">AW155+AX155</f>
        <v>0</v>
      </c>
      <c r="BD155" s="82" t="n">
        <f aca="false">I155/(100-BE155)*100</f>
        <v>0</v>
      </c>
      <c r="BE155" s="82" t="n">
        <v>0</v>
      </c>
      <c r="BF155" s="82" t="n">
        <f aca="false">155</f>
        <v>155</v>
      </c>
      <c r="BG155" s="51"/>
      <c r="BH155" s="82" t="n">
        <f aca="false">H155*AO155</f>
        <v>0</v>
      </c>
      <c r="BI155" s="82" t="n">
        <f aca="false">H155*AP155</f>
        <v>0</v>
      </c>
      <c r="BJ155" s="82" t="n">
        <f aca="false">H155*I155</f>
        <v>0</v>
      </c>
      <c r="BK155" s="82"/>
      <c r="BL155" s="82"/>
    </row>
    <row r="156" customFormat="false" ht="15" hidden="false" customHeight="true" outlineLevel="0" collapsed="false">
      <c r="A156" s="78" t="s">
        <v>503</v>
      </c>
      <c r="B156" s="14" t="s">
        <v>504</v>
      </c>
      <c r="C156" s="14" t="s">
        <v>505</v>
      </c>
      <c r="D156" s="14"/>
      <c r="E156" s="14"/>
      <c r="F156" s="14"/>
      <c r="G156" s="14" t="s">
        <v>465</v>
      </c>
      <c r="H156" s="79" t="n">
        <v>3.4</v>
      </c>
      <c r="I156" s="80" t="n">
        <v>0</v>
      </c>
      <c r="J156" s="79" t="n">
        <f aca="false">H156*AO156</f>
        <v>0</v>
      </c>
      <c r="K156" s="79" t="n">
        <f aca="false">H156*AP156</f>
        <v>0</v>
      </c>
      <c r="L156" s="79" t="n">
        <f aca="false">H156*I156</f>
        <v>0</v>
      </c>
      <c r="M156" s="81" t="s">
        <v>104</v>
      </c>
      <c r="N156" s="53"/>
      <c r="O156" s="53"/>
      <c r="P156" s="53"/>
      <c r="Q156" s="53"/>
      <c r="R156" s="53"/>
      <c r="S156" s="53"/>
      <c r="T156" s="53"/>
      <c r="U156" s="53"/>
      <c r="V156" s="53"/>
      <c r="W156" s="53"/>
      <c r="X156" s="53"/>
      <c r="Y156" s="51"/>
      <c r="Z156" s="82" t="n">
        <f aca="false">IF(AQ156="5",BJ156,0)</f>
        <v>0</v>
      </c>
      <c r="AA156" s="51"/>
      <c r="AB156" s="82" t="n">
        <f aca="false">IF(AQ156="1",BH156,0)</f>
        <v>0</v>
      </c>
      <c r="AC156" s="82" t="n">
        <f aca="false">IF(AQ156="1",BI156,0)</f>
        <v>0</v>
      </c>
      <c r="AD156" s="82" t="n">
        <f aca="false">IF(AQ156="7",BH156,0)</f>
        <v>0</v>
      </c>
      <c r="AE156" s="82" t="n">
        <f aca="false">IF(AQ156="7",BI156,0)</f>
        <v>0</v>
      </c>
      <c r="AF156" s="82" t="n">
        <f aca="false">IF(AQ156="2",BH156,0)</f>
        <v>0</v>
      </c>
      <c r="AG156" s="82" t="n">
        <f aca="false">IF(AQ156="2",BI156,0)</f>
        <v>0</v>
      </c>
      <c r="AH156" s="82" t="n">
        <f aca="false">IF(AQ156="0",BJ156,0)</f>
        <v>0</v>
      </c>
      <c r="AI156" s="64" t="s">
        <v>99</v>
      </c>
      <c r="AJ156" s="82" t="n">
        <f aca="false">IF(AN156=0,L156,0)</f>
        <v>0</v>
      </c>
      <c r="AK156" s="82" t="n">
        <f aca="false">IF(AN156=15,L156,0)</f>
        <v>0</v>
      </c>
      <c r="AL156" s="82" t="n">
        <f aca="false">IF(AN156=21,L156,0)</f>
        <v>0</v>
      </c>
      <c r="AM156" s="51"/>
      <c r="AN156" s="82" t="n">
        <v>21</v>
      </c>
      <c r="AO156" s="82" t="n">
        <f aca="false">I156*0</f>
        <v>0</v>
      </c>
      <c r="AP156" s="82" t="n">
        <f aca="false">I156*(1-0)</f>
        <v>0</v>
      </c>
      <c r="AQ156" s="83" t="s">
        <v>129</v>
      </c>
      <c r="AR156" s="51"/>
      <c r="AS156" s="51"/>
      <c r="AT156" s="51"/>
      <c r="AU156" s="51"/>
      <c r="AV156" s="82" t="n">
        <f aca="false">AW156+AX156</f>
        <v>0</v>
      </c>
      <c r="AW156" s="82" t="n">
        <f aca="false">H156*AO156</f>
        <v>0</v>
      </c>
      <c r="AX156" s="82" t="n">
        <f aca="false">H156*AP156</f>
        <v>0</v>
      </c>
      <c r="AY156" s="83" t="s">
        <v>478</v>
      </c>
      <c r="AZ156" s="83" t="s">
        <v>446</v>
      </c>
      <c r="BA156" s="64" t="s">
        <v>107</v>
      </c>
      <c r="BB156" s="51"/>
      <c r="BC156" s="82" t="n">
        <f aca="false">AW156+AX156</f>
        <v>0</v>
      </c>
      <c r="BD156" s="82" t="n">
        <f aca="false">I156/(100-BE156)*100</f>
        <v>0</v>
      </c>
      <c r="BE156" s="82" t="n">
        <v>0</v>
      </c>
      <c r="BF156" s="82" t="n">
        <f aca="false">156</f>
        <v>156</v>
      </c>
      <c r="BG156" s="51"/>
      <c r="BH156" s="82" t="n">
        <f aca="false">H156*AO156</f>
        <v>0</v>
      </c>
      <c r="BI156" s="82" t="n">
        <f aca="false">H156*AP156</f>
        <v>0</v>
      </c>
      <c r="BJ156" s="82" t="n">
        <f aca="false">H156*I156</f>
        <v>0</v>
      </c>
      <c r="BK156" s="82"/>
      <c r="BL156" s="82"/>
    </row>
    <row r="157" customFormat="false" ht="15" hidden="false" customHeight="true" outlineLevel="0" collapsed="false">
      <c r="A157" s="78" t="s">
        <v>506</v>
      </c>
      <c r="B157" s="14" t="s">
        <v>507</v>
      </c>
      <c r="C157" s="14" t="s">
        <v>508</v>
      </c>
      <c r="D157" s="14"/>
      <c r="E157" s="14"/>
      <c r="F157" s="14"/>
      <c r="G157" s="14" t="s">
        <v>465</v>
      </c>
      <c r="H157" s="79" t="n">
        <v>1.5</v>
      </c>
      <c r="I157" s="80" t="n">
        <v>0</v>
      </c>
      <c r="J157" s="79" t="n">
        <f aca="false">H157*AO157</f>
        <v>0</v>
      </c>
      <c r="K157" s="79" t="n">
        <f aca="false">H157*AP157</f>
        <v>0</v>
      </c>
      <c r="L157" s="79" t="n">
        <f aca="false">H157*I157</f>
        <v>0</v>
      </c>
      <c r="M157" s="81" t="s">
        <v>104</v>
      </c>
      <c r="N157" s="53"/>
      <c r="O157" s="53"/>
      <c r="P157" s="53"/>
      <c r="Q157" s="53"/>
      <c r="R157" s="53"/>
      <c r="S157" s="53"/>
      <c r="T157" s="53"/>
      <c r="U157" s="53"/>
      <c r="V157" s="53"/>
      <c r="W157" s="53"/>
      <c r="X157" s="53"/>
      <c r="Y157" s="51"/>
      <c r="Z157" s="82" t="n">
        <f aca="false">IF(AQ157="5",BJ157,0)</f>
        <v>0</v>
      </c>
      <c r="AA157" s="51"/>
      <c r="AB157" s="82" t="n">
        <f aca="false">IF(AQ157="1",BH157,0)</f>
        <v>0</v>
      </c>
      <c r="AC157" s="82" t="n">
        <f aca="false">IF(AQ157="1",BI157,0)</f>
        <v>0</v>
      </c>
      <c r="AD157" s="82" t="n">
        <f aca="false">IF(AQ157="7",BH157,0)</f>
        <v>0</v>
      </c>
      <c r="AE157" s="82" t="n">
        <f aca="false">IF(AQ157="7",BI157,0)</f>
        <v>0</v>
      </c>
      <c r="AF157" s="82" t="n">
        <f aca="false">IF(AQ157="2",BH157,0)</f>
        <v>0</v>
      </c>
      <c r="AG157" s="82" t="n">
        <f aca="false">IF(AQ157="2",BI157,0)</f>
        <v>0</v>
      </c>
      <c r="AH157" s="82" t="n">
        <f aca="false">IF(AQ157="0",BJ157,0)</f>
        <v>0</v>
      </c>
      <c r="AI157" s="64" t="s">
        <v>99</v>
      </c>
      <c r="AJ157" s="82" t="n">
        <f aca="false">IF(AN157=0,L157,0)</f>
        <v>0</v>
      </c>
      <c r="AK157" s="82" t="n">
        <f aca="false">IF(AN157=15,L157,0)</f>
        <v>0</v>
      </c>
      <c r="AL157" s="82" t="n">
        <f aca="false">IF(AN157=21,L157,0)</f>
        <v>0</v>
      </c>
      <c r="AM157" s="51"/>
      <c r="AN157" s="82" t="n">
        <v>21</v>
      </c>
      <c r="AO157" s="82" t="n">
        <f aca="false">I157*0</f>
        <v>0</v>
      </c>
      <c r="AP157" s="82" t="n">
        <f aca="false">I157*(1-0)</f>
        <v>0</v>
      </c>
      <c r="AQ157" s="83" t="s">
        <v>129</v>
      </c>
      <c r="AR157" s="51"/>
      <c r="AS157" s="51"/>
      <c r="AT157" s="51"/>
      <c r="AU157" s="51"/>
      <c r="AV157" s="82" t="n">
        <f aca="false">AW157+AX157</f>
        <v>0</v>
      </c>
      <c r="AW157" s="82" t="n">
        <f aca="false">H157*AO157</f>
        <v>0</v>
      </c>
      <c r="AX157" s="82" t="n">
        <f aca="false">H157*AP157</f>
        <v>0</v>
      </c>
      <c r="AY157" s="83" t="s">
        <v>478</v>
      </c>
      <c r="AZ157" s="83" t="s">
        <v>446</v>
      </c>
      <c r="BA157" s="64" t="s">
        <v>107</v>
      </c>
      <c r="BB157" s="51"/>
      <c r="BC157" s="82" t="n">
        <f aca="false">AW157+AX157</f>
        <v>0</v>
      </c>
      <c r="BD157" s="82" t="n">
        <f aca="false">I157/(100-BE157)*100</f>
        <v>0</v>
      </c>
      <c r="BE157" s="82" t="n">
        <v>0</v>
      </c>
      <c r="BF157" s="82" t="n">
        <f aca="false">157</f>
        <v>157</v>
      </c>
      <c r="BG157" s="51"/>
      <c r="BH157" s="82" t="n">
        <f aca="false">H157*AO157</f>
        <v>0</v>
      </c>
      <c r="BI157" s="82" t="n">
        <f aca="false">H157*AP157</f>
        <v>0</v>
      </c>
      <c r="BJ157" s="82" t="n">
        <f aca="false">H157*I157</f>
        <v>0</v>
      </c>
      <c r="BK157" s="82"/>
      <c r="BL157" s="82"/>
    </row>
    <row r="158" customFormat="false" ht="15" hidden="false" customHeight="true" outlineLevel="0" collapsed="false">
      <c r="A158" s="78" t="s">
        <v>509</v>
      </c>
      <c r="B158" s="14" t="s">
        <v>510</v>
      </c>
      <c r="C158" s="14" t="s">
        <v>511</v>
      </c>
      <c r="D158" s="14"/>
      <c r="E158" s="14"/>
      <c r="F158" s="14"/>
      <c r="G158" s="14" t="s">
        <v>465</v>
      </c>
      <c r="H158" s="79" t="n">
        <v>35</v>
      </c>
      <c r="I158" s="80" t="n">
        <v>0</v>
      </c>
      <c r="J158" s="79" t="n">
        <f aca="false">H158*AO158</f>
        <v>0</v>
      </c>
      <c r="K158" s="79" t="n">
        <f aca="false">H158*AP158</f>
        <v>0</v>
      </c>
      <c r="L158" s="79" t="n">
        <f aca="false">H158*I158</f>
        <v>0</v>
      </c>
      <c r="M158" s="81" t="s">
        <v>104</v>
      </c>
      <c r="N158" s="53"/>
      <c r="O158" s="53"/>
      <c r="P158" s="53"/>
      <c r="Q158" s="53"/>
      <c r="R158" s="53"/>
      <c r="S158" s="53"/>
      <c r="T158" s="53"/>
      <c r="U158" s="53"/>
      <c r="V158" s="53"/>
      <c r="W158" s="53"/>
      <c r="X158" s="53"/>
      <c r="Y158" s="51"/>
      <c r="Z158" s="82" t="n">
        <f aca="false">IF(AQ158="5",BJ158,0)</f>
        <v>0</v>
      </c>
      <c r="AA158" s="51"/>
      <c r="AB158" s="82" t="n">
        <f aca="false">IF(AQ158="1",BH158,0)</f>
        <v>0</v>
      </c>
      <c r="AC158" s="82" t="n">
        <f aca="false">IF(AQ158="1",BI158,0)</f>
        <v>0</v>
      </c>
      <c r="AD158" s="82" t="n">
        <f aca="false">IF(AQ158="7",BH158,0)</f>
        <v>0</v>
      </c>
      <c r="AE158" s="82" t="n">
        <f aca="false">IF(AQ158="7",BI158,0)</f>
        <v>0</v>
      </c>
      <c r="AF158" s="82" t="n">
        <f aca="false">IF(AQ158="2",BH158,0)</f>
        <v>0</v>
      </c>
      <c r="AG158" s="82" t="n">
        <f aca="false">IF(AQ158="2",BI158,0)</f>
        <v>0</v>
      </c>
      <c r="AH158" s="82" t="n">
        <f aca="false">IF(AQ158="0",BJ158,0)</f>
        <v>0</v>
      </c>
      <c r="AI158" s="64" t="s">
        <v>99</v>
      </c>
      <c r="AJ158" s="82" t="n">
        <f aca="false">IF(AN158=0,L158,0)</f>
        <v>0</v>
      </c>
      <c r="AK158" s="82" t="n">
        <f aca="false">IF(AN158=15,L158,0)</f>
        <v>0</v>
      </c>
      <c r="AL158" s="82" t="n">
        <f aca="false">IF(AN158=21,L158,0)</f>
        <v>0</v>
      </c>
      <c r="AM158" s="51"/>
      <c r="AN158" s="82" t="n">
        <v>21</v>
      </c>
      <c r="AO158" s="82" t="n">
        <f aca="false">I158*0</f>
        <v>0</v>
      </c>
      <c r="AP158" s="82" t="n">
        <f aca="false">I158*(1-0)</f>
        <v>0</v>
      </c>
      <c r="AQ158" s="83" t="s">
        <v>129</v>
      </c>
      <c r="AR158" s="51"/>
      <c r="AS158" s="51"/>
      <c r="AT158" s="51"/>
      <c r="AU158" s="51"/>
      <c r="AV158" s="82" t="n">
        <f aca="false">AW158+AX158</f>
        <v>0</v>
      </c>
      <c r="AW158" s="82" t="n">
        <f aca="false">H158*AO158</f>
        <v>0</v>
      </c>
      <c r="AX158" s="82" t="n">
        <f aca="false">H158*AP158</f>
        <v>0</v>
      </c>
      <c r="AY158" s="83" t="s">
        <v>478</v>
      </c>
      <c r="AZ158" s="83" t="s">
        <v>446</v>
      </c>
      <c r="BA158" s="64" t="s">
        <v>107</v>
      </c>
      <c r="BB158" s="51"/>
      <c r="BC158" s="82" t="n">
        <f aca="false">AW158+AX158</f>
        <v>0</v>
      </c>
      <c r="BD158" s="82" t="n">
        <f aca="false">I158/(100-BE158)*100</f>
        <v>0</v>
      </c>
      <c r="BE158" s="82" t="n">
        <v>0</v>
      </c>
      <c r="BF158" s="82" t="n">
        <f aca="false">158</f>
        <v>158</v>
      </c>
      <c r="BG158" s="51"/>
      <c r="BH158" s="82" t="n">
        <f aca="false">H158*AO158</f>
        <v>0</v>
      </c>
      <c r="BI158" s="82" t="n">
        <f aca="false">H158*AP158</f>
        <v>0</v>
      </c>
      <c r="BJ158" s="82" t="n">
        <f aca="false">H158*I158</f>
        <v>0</v>
      </c>
      <c r="BK158" s="82"/>
      <c r="BL158" s="82"/>
    </row>
    <row r="159" customFormat="false" ht="15" hidden="false" customHeight="true" outlineLevel="0" collapsed="false">
      <c r="A159" s="73"/>
      <c r="B159" s="74"/>
      <c r="C159" s="74" t="s">
        <v>34</v>
      </c>
      <c r="D159" s="74"/>
      <c r="E159" s="74"/>
      <c r="F159" s="74"/>
      <c r="G159" s="75" t="s">
        <v>65</v>
      </c>
      <c r="H159" s="75" t="s">
        <v>65</v>
      </c>
      <c r="I159" s="75" t="s">
        <v>65</v>
      </c>
      <c r="J159" s="76" t="n">
        <f aca="false">SUM(J160:J173)</f>
        <v>0</v>
      </c>
      <c r="K159" s="76" t="n">
        <f aca="false">SUM(K160:K173)</f>
        <v>0</v>
      </c>
      <c r="L159" s="76" t="n">
        <f aca="false">SUM(L160:L173)</f>
        <v>0</v>
      </c>
      <c r="M159" s="77"/>
      <c r="N159" s="53"/>
      <c r="O159" s="53"/>
      <c r="P159" s="53"/>
      <c r="Q159" s="53"/>
      <c r="R159" s="53"/>
      <c r="S159" s="53"/>
      <c r="T159" s="53"/>
      <c r="U159" s="53"/>
      <c r="V159" s="53"/>
      <c r="W159" s="53"/>
      <c r="X159" s="53"/>
      <c r="Y159" s="51"/>
      <c r="Z159" s="51"/>
      <c r="AA159" s="51"/>
      <c r="AB159" s="51"/>
      <c r="AC159" s="51"/>
      <c r="AD159" s="51"/>
      <c r="AE159" s="51"/>
      <c r="AF159" s="51"/>
      <c r="AG159" s="51"/>
      <c r="AH159" s="51"/>
      <c r="AI159" s="64" t="s">
        <v>99</v>
      </c>
      <c r="AJ159" s="51"/>
      <c r="AK159" s="51"/>
      <c r="AL159" s="51"/>
      <c r="AM159" s="51"/>
      <c r="AN159" s="51"/>
      <c r="AO159" s="51"/>
      <c r="AP159" s="51"/>
      <c r="AQ159" s="51"/>
      <c r="AR159" s="51"/>
      <c r="AS159" s="54" t="n">
        <f aca="false">SUM(AJ160:AJ173)</f>
        <v>0</v>
      </c>
      <c r="AT159" s="54" t="n">
        <f aca="false">SUM(AK160:AK173)</f>
        <v>0</v>
      </c>
      <c r="AU159" s="54" t="n">
        <f aca="false">SUM(AL160:AL173)</f>
        <v>0</v>
      </c>
      <c r="AV159" s="51"/>
      <c r="AW159" s="51"/>
      <c r="AX159" s="51"/>
      <c r="AY159" s="51"/>
      <c r="AZ159" s="51"/>
      <c r="BA159" s="51"/>
      <c r="BB159" s="51"/>
      <c r="BC159" s="51"/>
      <c r="BD159" s="51"/>
      <c r="BE159" s="51"/>
      <c r="BF159" s="51"/>
      <c r="BG159" s="51"/>
      <c r="BH159" s="51"/>
      <c r="BI159" s="51"/>
      <c r="BJ159" s="51"/>
      <c r="BK159" s="51"/>
      <c r="BL159" s="51"/>
    </row>
    <row r="160" customFormat="false" ht="15" hidden="false" customHeight="true" outlineLevel="0" collapsed="false">
      <c r="A160" s="78" t="s">
        <v>512</v>
      </c>
      <c r="B160" s="14" t="s">
        <v>513</v>
      </c>
      <c r="C160" s="14" t="s">
        <v>514</v>
      </c>
      <c r="D160" s="14"/>
      <c r="E160" s="14"/>
      <c r="F160" s="14"/>
      <c r="G160" s="14" t="s">
        <v>111</v>
      </c>
      <c r="H160" s="79" t="n">
        <v>1</v>
      </c>
      <c r="I160" s="80" t="n">
        <v>0</v>
      </c>
      <c r="J160" s="79" t="n">
        <f aca="false">H160*AO160</f>
        <v>0</v>
      </c>
      <c r="K160" s="79" t="n">
        <f aca="false">H160*AP160</f>
        <v>0</v>
      </c>
      <c r="L160" s="79" t="n">
        <f aca="false">H160*I160</f>
        <v>0</v>
      </c>
      <c r="M160" s="81" t="s">
        <v>104</v>
      </c>
      <c r="N160" s="53"/>
      <c r="O160" s="53"/>
      <c r="P160" s="53"/>
      <c r="Q160" s="53"/>
      <c r="R160" s="53"/>
      <c r="S160" s="53"/>
      <c r="T160" s="53"/>
      <c r="U160" s="53"/>
      <c r="V160" s="53"/>
      <c r="W160" s="53"/>
      <c r="X160" s="53"/>
      <c r="Y160" s="51"/>
      <c r="Z160" s="82" t="n">
        <f aca="false">IF(AQ160="5",BJ160,0)</f>
        <v>0</v>
      </c>
      <c r="AA160" s="51"/>
      <c r="AB160" s="82" t="n">
        <f aca="false">IF(AQ160="1",BH160,0)</f>
        <v>0</v>
      </c>
      <c r="AC160" s="82" t="n">
        <f aca="false">IF(AQ160="1",BI160,0)</f>
        <v>0</v>
      </c>
      <c r="AD160" s="82" t="n">
        <f aca="false">IF(AQ160="7",BH160,0)</f>
        <v>0</v>
      </c>
      <c r="AE160" s="82" t="n">
        <f aca="false">IF(AQ160="7",BI160,0)</f>
        <v>0</v>
      </c>
      <c r="AF160" s="82" t="n">
        <f aca="false">IF(AQ160="2",BH160,0)</f>
        <v>0</v>
      </c>
      <c r="AG160" s="82" t="n">
        <f aca="false">IF(AQ160="2",BI160,0)</f>
        <v>0</v>
      </c>
      <c r="AH160" s="82" t="n">
        <f aca="false">IF(AQ160="0",BJ160,0)</f>
        <v>0</v>
      </c>
      <c r="AI160" s="64" t="s">
        <v>99</v>
      </c>
      <c r="AJ160" s="82" t="n">
        <f aca="false">IF(AN160=0,L160,0)</f>
        <v>0</v>
      </c>
      <c r="AK160" s="82" t="n">
        <f aca="false">IF(AN160=15,L160,0)</f>
        <v>0</v>
      </c>
      <c r="AL160" s="82" t="n">
        <f aca="false">IF(AN160=21,L160,0)</f>
        <v>0</v>
      </c>
      <c r="AM160" s="51"/>
      <c r="AN160" s="82" t="n">
        <v>21</v>
      </c>
      <c r="AO160" s="82" t="n">
        <f aca="false">I160*1</f>
        <v>0</v>
      </c>
      <c r="AP160" s="82" t="n">
        <f aca="false">I160*(1-1)</f>
        <v>0</v>
      </c>
      <c r="AQ160" s="83" t="s">
        <v>515</v>
      </c>
      <c r="AR160" s="51"/>
      <c r="AS160" s="51"/>
      <c r="AT160" s="51"/>
      <c r="AU160" s="51"/>
      <c r="AV160" s="82" t="n">
        <f aca="false">AW160+AX160</f>
        <v>0</v>
      </c>
      <c r="AW160" s="82" t="n">
        <f aca="false">H160*AO160</f>
        <v>0</v>
      </c>
      <c r="AX160" s="82" t="n">
        <f aca="false">H160*AP160</f>
        <v>0</v>
      </c>
      <c r="AY160" s="83" t="s">
        <v>516</v>
      </c>
      <c r="AZ160" s="83" t="s">
        <v>517</v>
      </c>
      <c r="BA160" s="64" t="s">
        <v>107</v>
      </c>
      <c r="BB160" s="51"/>
      <c r="BC160" s="82" t="n">
        <f aca="false">AW160+AX160</f>
        <v>0</v>
      </c>
      <c r="BD160" s="82" t="n">
        <f aca="false">I160/(100-BE160)*100</f>
        <v>0</v>
      </c>
      <c r="BE160" s="82" t="n">
        <v>0</v>
      </c>
      <c r="BF160" s="82" t="n">
        <f aca="false">160</f>
        <v>160</v>
      </c>
      <c r="BG160" s="51"/>
      <c r="BH160" s="82" t="n">
        <f aca="false">H160*AO160</f>
        <v>0</v>
      </c>
      <c r="BI160" s="82" t="n">
        <f aca="false">H160*AP160</f>
        <v>0</v>
      </c>
      <c r="BJ160" s="82" t="n">
        <f aca="false">H160*I160</f>
        <v>0</v>
      </c>
      <c r="BK160" s="82"/>
      <c r="BL160" s="82"/>
    </row>
    <row r="161" customFormat="false" ht="15" hidden="false" customHeight="true" outlineLevel="0" collapsed="false">
      <c r="A161" s="78" t="s">
        <v>518</v>
      </c>
      <c r="B161" s="14" t="s">
        <v>519</v>
      </c>
      <c r="C161" s="14" t="s">
        <v>520</v>
      </c>
      <c r="D161" s="14"/>
      <c r="E161" s="14"/>
      <c r="F161" s="14"/>
      <c r="G161" s="14" t="s">
        <v>111</v>
      </c>
      <c r="H161" s="79" t="n">
        <v>3</v>
      </c>
      <c r="I161" s="80" t="n">
        <v>0</v>
      </c>
      <c r="J161" s="79" t="n">
        <f aca="false">H161*AO161</f>
        <v>0</v>
      </c>
      <c r="K161" s="79" t="n">
        <f aca="false">H161*AP161</f>
        <v>0</v>
      </c>
      <c r="L161" s="79" t="n">
        <f aca="false">H161*I161</f>
        <v>0</v>
      </c>
      <c r="M161" s="81" t="s">
        <v>104</v>
      </c>
      <c r="N161" s="53"/>
      <c r="O161" s="53"/>
      <c r="P161" s="53"/>
      <c r="Q161" s="53"/>
      <c r="R161" s="53"/>
      <c r="S161" s="53"/>
      <c r="T161" s="53"/>
      <c r="U161" s="53"/>
      <c r="V161" s="53"/>
      <c r="W161" s="53"/>
      <c r="X161" s="53"/>
      <c r="Y161" s="51"/>
      <c r="Z161" s="82" t="n">
        <f aca="false">IF(AQ161="5",BJ161,0)</f>
        <v>0</v>
      </c>
      <c r="AA161" s="51"/>
      <c r="AB161" s="82" t="n">
        <f aca="false">IF(AQ161="1",BH161,0)</f>
        <v>0</v>
      </c>
      <c r="AC161" s="82" t="n">
        <f aca="false">IF(AQ161="1",BI161,0)</f>
        <v>0</v>
      </c>
      <c r="AD161" s="82" t="n">
        <f aca="false">IF(AQ161="7",BH161,0)</f>
        <v>0</v>
      </c>
      <c r="AE161" s="82" t="n">
        <f aca="false">IF(AQ161="7",BI161,0)</f>
        <v>0</v>
      </c>
      <c r="AF161" s="82" t="n">
        <f aca="false">IF(AQ161="2",BH161,0)</f>
        <v>0</v>
      </c>
      <c r="AG161" s="82" t="n">
        <f aca="false">IF(AQ161="2",BI161,0)</f>
        <v>0</v>
      </c>
      <c r="AH161" s="82" t="n">
        <f aca="false">IF(AQ161="0",BJ161,0)</f>
        <v>0</v>
      </c>
      <c r="AI161" s="64" t="s">
        <v>99</v>
      </c>
      <c r="AJ161" s="82" t="n">
        <f aca="false">IF(AN161=0,L161,0)</f>
        <v>0</v>
      </c>
      <c r="AK161" s="82" t="n">
        <f aca="false">IF(AN161=15,L161,0)</f>
        <v>0</v>
      </c>
      <c r="AL161" s="82" t="n">
        <f aca="false">IF(AN161=21,L161,0)</f>
        <v>0</v>
      </c>
      <c r="AM161" s="51"/>
      <c r="AN161" s="82" t="n">
        <v>21</v>
      </c>
      <c r="AO161" s="82" t="n">
        <f aca="false">I161*1</f>
        <v>0</v>
      </c>
      <c r="AP161" s="82" t="n">
        <f aca="false">I161*(1-1)</f>
        <v>0</v>
      </c>
      <c r="AQ161" s="83" t="s">
        <v>515</v>
      </c>
      <c r="AR161" s="51"/>
      <c r="AS161" s="51"/>
      <c r="AT161" s="51"/>
      <c r="AU161" s="51"/>
      <c r="AV161" s="82" t="n">
        <f aca="false">AW161+AX161</f>
        <v>0</v>
      </c>
      <c r="AW161" s="82" t="n">
        <f aca="false">H161*AO161</f>
        <v>0</v>
      </c>
      <c r="AX161" s="82" t="n">
        <f aca="false">H161*AP161</f>
        <v>0</v>
      </c>
      <c r="AY161" s="83" t="s">
        <v>516</v>
      </c>
      <c r="AZ161" s="83" t="s">
        <v>517</v>
      </c>
      <c r="BA161" s="64" t="s">
        <v>107</v>
      </c>
      <c r="BB161" s="51"/>
      <c r="BC161" s="82" t="n">
        <f aca="false">AW161+AX161</f>
        <v>0</v>
      </c>
      <c r="BD161" s="82" t="n">
        <f aca="false">I161/(100-BE161)*100</f>
        <v>0</v>
      </c>
      <c r="BE161" s="82" t="n">
        <v>0</v>
      </c>
      <c r="BF161" s="82" t="n">
        <f aca="false">161</f>
        <v>161</v>
      </c>
      <c r="BG161" s="51"/>
      <c r="BH161" s="82" t="n">
        <f aca="false">H161*AO161</f>
        <v>0</v>
      </c>
      <c r="BI161" s="82" t="n">
        <f aca="false">H161*AP161</f>
        <v>0</v>
      </c>
      <c r="BJ161" s="82" t="n">
        <f aca="false">H161*I161</f>
        <v>0</v>
      </c>
      <c r="BK161" s="82"/>
      <c r="BL161" s="82"/>
    </row>
    <row r="162" customFormat="false" ht="15" hidden="false" customHeight="true" outlineLevel="0" collapsed="false">
      <c r="A162" s="78" t="s">
        <v>521</v>
      </c>
      <c r="B162" s="14" t="s">
        <v>522</v>
      </c>
      <c r="C162" s="14" t="s">
        <v>523</v>
      </c>
      <c r="D162" s="14"/>
      <c r="E162" s="14"/>
      <c r="F162" s="14"/>
      <c r="G162" s="14" t="s">
        <v>111</v>
      </c>
      <c r="H162" s="79" t="n">
        <v>1</v>
      </c>
      <c r="I162" s="80" t="n">
        <v>0</v>
      </c>
      <c r="J162" s="79" t="n">
        <f aca="false">H162*AO162</f>
        <v>0</v>
      </c>
      <c r="K162" s="79" t="n">
        <f aca="false">H162*AP162</f>
        <v>0</v>
      </c>
      <c r="L162" s="79" t="n">
        <f aca="false">H162*I162</f>
        <v>0</v>
      </c>
      <c r="M162" s="81" t="s">
        <v>104</v>
      </c>
      <c r="N162" s="53"/>
      <c r="O162" s="53"/>
      <c r="P162" s="53"/>
      <c r="Q162" s="53"/>
      <c r="R162" s="53"/>
      <c r="S162" s="53"/>
      <c r="T162" s="53"/>
      <c r="U162" s="53"/>
      <c r="V162" s="53"/>
      <c r="W162" s="53"/>
      <c r="X162" s="53"/>
      <c r="Y162" s="51"/>
      <c r="Z162" s="82" t="n">
        <f aca="false">IF(AQ162="5",BJ162,0)</f>
        <v>0</v>
      </c>
      <c r="AA162" s="51"/>
      <c r="AB162" s="82" t="n">
        <f aca="false">IF(AQ162="1",BH162,0)</f>
        <v>0</v>
      </c>
      <c r="AC162" s="82" t="n">
        <f aca="false">IF(AQ162="1",BI162,0)</f>
        <v>0</v>
      </c>
      <c r="AD162" s="82" t="n">
        <f aca="false">IF(AQ162="7",BH162,0)</f>
        <v>0</v>
      </c>
      <c r="AE162" s="82" t="n">
        <f aca="false">IF(AQ162="7",BI162,0)</f>
        <v>0</v>
      </c>
      <c r="AF162" s="82" t="n">
        <f aca="false">IF(AQ162="2",BH162,0)</f>
        <v>0</v>
      </c>
      <c r="AG162" s="82" t="n">
        <f aca="false">IF(AQ162="2",BI162,0)</f>
        <v>0</v>
      </c>
      <c r="AH162" s="82" t="n">
        <f aca="false">IF(AQ162="0",BJ162,0)</f>
        <v>0</v>
      </c>
      <c r="AI162" s="64" t="s">
        <v>99</v>
      </c>
      <c r="AJ162" s="82" t="n">
        <f aca="false">IF(AN162=0,L162,0)</f>
        <v>0</v>
      </c>
      <c r="AK162" s="82" t="n">
        <f aca="false">IF(AN162=15,L162,0)</f>
        <v>0</v>
      </c>
      <c r="AL162" s="82" t="n">
        <f aca="false">IF(AN162=21,L162,0)</f>
        <v>0</v>
      </c>
      <c r="AM162" s="51"/>
      <c r="AN162" s="82" t="n">
        <v>21</v>
      </c>
      <c r="AO162" s="82" t="n">
        <f aca="false">I162*1</f>
        <v>0</v>
      </c>
      <c r="AP162" s="82" t="n">
        <f aca="false">I162*(1-1)</f>
        <v>0</v>
      </c>
      <c r="AQ162" s="83" t="s">
        <v>515</v>
      </c>
      <c r="AR162" s="51"/>
      <c r="AS162" s="51"/>
      <c r="AT162" s="51"/>
      <c r="AU162" s="51"/>
      <c r="AV162" s="82" t="n">
        <f aca="false">AW162+AX162</f>
        <v>0</v>
      </c>
      <c r="AW162" s="82" t="n">
        <f aca="false">H162*AO162</f>
        <v>0</v>
      </c>
      <c r="AX162" s="82" t="n">
        <f aca="false">H162*AP162</f>
        <v>0</v>
      </c>
      <c r="AY162" s="83" t="s">
        <v>516</v>
      </c>
      <c r="AZ162" s="83" t="s">
        <v>517</v>
      </c>
      <c r="BA162" s="64" t="s">
        <v>107</v>
      </c>
      <c r="BB162" s="51"/>
      <c r="BC162" s="82" t="n">
        <f aca="false">AW162+AX162</f>
        <v>0</v>
      </c>
      <c r="BD162" s="82" t="n">
        <f aca="false">I162/(100-BE162)*100</f>
        <v>0</v>
      </c>
      <c r="BE162" s="82" t="n">
        <v>0</v>
      </c>
      <c r="BF162" s="82" t="n">
        <f aca="false">162</f>
        <v>162</v>
      </c>
      <c r="BG162" s="51"/>
      <c r="BH162" s="82" t="n">
        <f aca="false">H162*AO162</f>
        <v>0</v>
      </c>
      <c r="BI162" s="82" t="n">
        <f aca="false">H162*AP162</f>
        <v>0</v>
      </c>
      <c r="BJ162" s="82" t="n">
        <f aca="false">H162*I162</f>
        <v>0</v>
      </c>
      <c r="BK162" s="82"/>
      <c r="BL162" s="82"/>
    </row>
    <row r="163" customFormat="false" ht="15" hidden="false" customHeight="true" outlineLevel="0" collapsed="false">
      <c r="A163" s="78" t="s">
        <v>524</v>
      </c>
      <c r="B163" s="14" t="s">
        <v>525</v>
      </c>
      <c r="C163" s="14" t="s">
        <v>526</v>
      </c>
      <c r="D163" s="14"/>
      <c r="E163" s="14"/>
      <c r="F163" s="14"/>
      <c r="G163" s="14" t="s">
        <v>111</v>
      </c>
      <c r="H163" s="79" t="n">
        <v>2</v>
      </c>
      <c r="I163" s="80" t="n">
        <v>0</v>
      </c>
      <c r="J163" s="79" t="n">
        <f aca="false">H163*AO163</f>
        <v>0</v>
      </c>
      <c r="K163" s="79" t="n">
        <f aca="false">H163*AP163</f>
        <v>0</v>
      </c>
      <c r="L163" s="79" t="n">
        <f aca="false">H163*I163</f>
        <v>0</v>
      </c>
      <c r="M163" s="81" t="s">
        <v>104</v>
      </c>
      <c r="N163" s="53"/>
      <c r="O163" s="53"/>
      <c r="P163" s="53"/>
      <c r="Q163" s="53"/>
      <c r="R163" s="53"/>
      <c r="S163" s="53"/>
      <c r="T163" s="53"/>
      <c r="U163" s="53"/>
      <c r="V163" s="53"/>
      <c r="W163" s="53"/>
      <c r="X163" s="53"/>
      <c r="Y163" s="51"/>
      <c r="Z163" s="82" t="n">
        <f aca="false">IF(AQ163="5",BJ163,0)</f>
        <v>0</v>
      </c>
      <c r="AA163" s="51"/>
      <c r="AB163" s="82" t="n">
        <f aca="false">IF(AQ163="1",BH163,0)</f>
        <v>0</v>
      </c>
      <c r="AC163" s="82" t="n">
        <f aca="false">IF(AQ163="1",BI163,0)</f>
        <v>0</v>
      </c>
      <c r="AD163" s="82" t="n">
        <f aca="false">IF(AQ163="7",BH163,0)</f>
        <v>0</v>
      </c>
      <c r="AE163" s="82" t="n">
        <f aca="false">IF(AQ163="7",BI163,0)</f>
        <v>0</v>
      </c>
      <c r="AF163" s="82" t="n">
        <f aca="false">IF(AQ163="2",BH163,0)</f>
        <v>0</v>
      </c>
      <c r="AG163" s="82" t="n">
        <f aca="false">IF(AQ163="2",BI163,0)</f>
        <v>0</v>
      </c>
      <c r="AH163" s="82" t="n">
        <f aca="false">IF(AQ163="0",BJ163,0)</f>
        <v>0</v>
      </c>
      <c r="AI163" s="64" t="s">
        <v>99</v>
      </c>
      <c r="AJ163" s="82" t="n">
        <f aca="false">IF(AN163=0,L163,0)</f>
        <v>0</v>
      </c>
      <c r="AK163" s="82" t="n">
        <f aca="false">IF(AN163=15,L163,0)</f>
        <v>0</v>
      </c>
      <c r="AL163" s="82" t="n">
        <f aca="false">IF(AN163=21,L163,0)</f>
        <v>0</v>
      </c>
      <c r="AM163" s="51"/>
      <c r="AN163" s="82" t="n">
        <v>21</v>
      </c>
      <c r="AO163" s="82" t="n">
        <f aca="false">I163*1</f>
        <v>0</v>
      </c>
      <c r="AP163" s="82" t="n">
        <f aca="false">I163*(1-1)</f>
        <v>0</v>
      </c>
      <c r="AQ163" s="83" t="s">
        <v>515</v>
      </c>
      <c r="AR163" s="51"/>
      <c r="AS163" s="51"/>
      <c r="AT163" s="51"/>
      <c r="AU163" s="51"/>
      <c r="AV163" s="82" t="n">
        <f aca="false">AW163+AX163</f>
        <v>0</v>
      </c>
      <c r="AW163" s="82" t="n">
        <f aca="false">H163*AO163</f>
        <v>0</v>
      </c>
      <c r="AX163" s="82" t="n">
        <f aca="false">H163*AP163</f>
        <v>0</v>
      </c>
      <c r="AY163" s="83" t="s">
        <v>516</v>
      </c>
      <c r="AZ163" s="83" t="s">
        <v>517</v>
      </c>
      <c r="BA163" s="64" t="s">
        <v>107</v>
      </c>
      <c r="BB163" s="51"/>
      <c r="BC163" s="82" t="n">
        <f aca="false">AW163+AX163</f>
        <v>0</v>
      </c>
      <c r="BD163" s="82" t="n">
        <f aca="false">I163/(100-BE163)*100</f>
        <v>0</v>
      </c>
      <c r="BE163" s="82" t="n">
        <v>0</v>
      </c>
      <c r="BF163" s="82" t="n">
        <f aca="false">163</f>
        <v>163</v>
      </c>
      <c r="BG163" s="51"/>
      <c r="BH163" s="82" t="n">
        <f aca="false">H163*AO163</f>
        <v>0</v>
      </c>
      <c r="BI163" s="82" t="n">
        <f aca="false">H163*AP163</f>
        <v>0</v>
      </c>
      <c r="BJ163" s="82" t="n">
        <f aca="false">H163*I163</f>
        <v>0</v>
      </c>
      <c r="BK163" s="82"/>
      <c r="BL163" s="82"/>
    </row>
    <row r="164" customFormat="false" ht="15" hidden="false" customHeight="true" outlineLevel="0" collapsed="false">
      <c r="A164" s="78" t="s">
        <v>527</v>
      </c>
      <c r="B164" s="14" t="s">
        <v>528</v>
      </c>
      <c r="C164" s="14" t="s">
        <v>529</v>
      </c>
      <c r="D164" s="14"/>
      <c r="E164" s="14"/>
      <c r="F164" s="14"/>
      <c r="G164" s="14" t="s">
        <v>111</v>
      </c>
      <c r="H164" s="79" t="n">
        <v>6</v>
      </c>
      <c r="I164" s="80" t="n">
        <v>0</v>
      </c>
      <c r="J164" s="79" t="n">
        <f aca="false">H164*AO164</f>
        <v>0</v>
      </c>
      <c r="K164" s="79" t="n">
        <f aca="false">H164*AP164</f>
        <v>0</v>
      </c>
      <c r="L164" s="79" t="n">
        <f aca="false">H164*I164</f>
        <v>0</v>
      </c>
      <c r="M164" s="81" t="s">
        <v>104</v>
      </c>
      <c r="N164" s="53"/>
      <c r="O164" s="53"/>
      <c r="P164" s="53"/>
      <c r="Q164" s="53"/>
      <c r="R164" s="53"/>
      <c r="S164" s="53"/>
      <c r="T164" s="53"/>
      <c r="U164" s="53"/>
      <c r="V164" s="53"/>
      <c r="W164" s="53"/>
      <c r="X164" s="53"/>
      <c r="Y164" s="51"/>
      <c r="Z164" s="82" t="n">
        <f aca="false">IF(AQ164="5",BJ164,0)</f>
        <v>0</v>
      </c>
      <c r="AA164" s="51"/>
      <c r="AB164" s="82" t="n">
        <f aca="false">IF(AQ164="1",BH164,0)</f>
        <v>0</v>
      </c>
      <c r="AC164" s="82" t="n">
        <f aca="false">IF(AQ164="1",BI164,0)</f>
        <v>0</v>
      </c>
      <c r="AD164" s="82" t="n">
        <f aca="false">IF(AQ164="7",BH164,0)</f>
        <v>0</v>
      </c>
      <c r="AE164" s="82" t="n">
        <f aca="false">IF(AQ164="7",BI164,0)</f>
        <v>0</v>
      </c>
      <c r="AF164" s="82" t="n">
        <f aca="false">IF(AQ164="2",BH164,0)</f>
        <v>0</v>
      </c>
      <c r="AG164" s="82" t="n">
        <f aca="false">IF(AQ164="2",BI164,0)</f>
        <v>0</v>
      </c>
      <c r="AH164" s="82" t="n">
        <f aca="false">IF(AQ164="0",BJ164,0)</f>
        <v>0</v>
      </c>
      <c r="AI164" s="64" t="s">
        <v>99</v>
      </c>
      <c r="AJ164" s="82" t="n">
        <f aca="false">IF(AN164=0,L164,0)</f>
        <v>0</v>
      </c>
      <c r="AK164" s="82" t="n">
        <f aca="false">IF(AN164=15,L164,0)</f>
        <v>0</v>
      </c>
      <c r="AL164" s="82" t="n">
        <f aca="false">IF(AN164=21,L164,0)</f>
        <v>0</v>
      </c>
      <c r="AM164" s="51"/>
      <c r="AN164" s="82" t="n">
        <v>21</v>
      </c>
      <c r="AO164" s="82" t="n">
        <f aca="false">I164*1</f>
        <v>0</v>
      </c>
      <c r="AP164" s="82" t="n">
        <f aca="false">I164*(1-1)</f>
        <v>0</v>
      </c>
      <c r="AQ164" s="83" t="s">
        <v>515</v>
      </c>
      <c r="AR164" s="51"/>
      <c r="AS164" s="51"/>
      <c r="AT164" s="51"/>
      <c r="AU164" s="51"/>
      <c r="AV164" s="82" t="n">
        <f aca="false">AW164+AX164</f>
        <v>0</v>
      </c>
      <c r="AW164" s="82" t="n">
        <f aca="false">H164*AO164</f>
        <v>0</v>
      </c>
      <c r="AX164" s="82" t="n">
        <f aca="false">H164*AP164</f>
        <v>0</v>
      </c>
      <c r="AY164" s="83" t="s">
        <v>516</v>
      </c>
      <c r="AZ164" s="83" t="s">
        <v>517</v>
      </c>
      <c r="BA164" s="64" t="s">
        <v>107</v>
      </c>
      <c r="BB164" s="51"/>
      <c r="BC164" s="82" t="n">
        <f aca="false">AW164+AX164</f>
        <v>0</v>
      </c>
      <c r="BD164" s="82" t="n">
        <f aca="false">I164/(100-BE164)*100</f>
        <v>0</v>
      </c>
      <c r="BE164" s="82" t="n">
        <v>0</v>
      </c>
      <c r="BF164" s="82" t="n">
        <f aca="false">164</f>
        <v>164</v>
      </c>
      <c r="BG164" s="51"/>
      <c r="BH164" s="82" t="n">
        <f aca="false">H164*AO164</f>
        <v>0</v>
      </c>
      <c r="BI164" s="82" t="n">
        <f aca="false">H164*AP164</f>
        <v>0</v>
      </c>
      <c r="BJ164" s="82" t="n">
        <f aca="false">H164*I164</f>
        <v>0</v>
      </c>
      <c r="BK164" s="82"/>
      <c r="BL164" s="82"/>
    </row>
    <row r="165" customFormat="false" ht="15" hidden="false" customHeight="true" outlineLevel="0" collapsed="false">
      <c r="A165" s="78" t="s">
        <v>530</v>
      </c>
      <c r="B165" s="14" t="s">
        <v>519</v>
      </c>
      <c r="C165" s="14" t="s">
        <v>520</v>
      </c>
      <c r="D165" s="14"/>
      <c r="E165" s="14"/>
      <c r="F165" s="14"/>
      <c r="G165" s="14" t="s">
        <v>111</v>
      </c>
      <c r="H165" s="79" t="n">
        <v>22</v>
      </c>
      <c r="I165" s="80" t="n">
        <v>0</v>
      </c>
      <c r="J165" s="79" t="n">
        <f aca="false">H165*AO165</f>
        <v>0</v>
      </c>
      <c r="K165" s="79" t="n">
        <f aca="false">H165*AP165</f>
        <v>0</v>
      </c>
      <c r="L165" s="79" t="n">
        <f aca="false">H165*I165</f>
        <v>0</v>
      </c>
      <c r="M165" s="81" t="s">
        <v>104</v>
      </c>
      <c r="N165" s="53"/>
      <c r="O165" s="53"/>
      <c r="P165" s="53"/>
      <c r="Q165" s="53"/>
      <c r="R165" s="53"/>
      <c r="S165" s="53"/>
      <c r="T165" s="53"/>
      <c r="U165" s="53"/>
      <c r="V165" s="53"/>
      <c r="W165" s="53"/>
      <c r="X165" s="53"/>
      <c r="Y165" s="51"/>
      <c r="Z165" s="82" t="n">
        <f aca="false">IF(AQ165="5",BJ165,0)</f>
        <v>0</v>
      </c>
      <c r="AA165" s="51"/>
      <c r="AB165" s="82" t="n">
        <f aca="false">IF(AQ165="1",BH165,0)</f>
        <v>0</v>
      </c>
      <c r="AC165" s="82" t="n">
        <f aca="false">IF(AQ165="1",BI165,0)</f>
        <v>0</v>
      </c>
      <c r="AD165" s="82" t="n">
        <f aca="false">IF(AQ165="7",BH165,0)</f>
        <v>0</v>
      </c>
      <c r="AE165" s="82" t="n">
        <f aca="false">IF(AQ165="7",BI165,0)</f>
        <v>0</v>
      </c>
      <c r="AF165" s="82" t="n">
        <f aca="false">IF(AQ165="2",BH165,0)</f>
        <v>0</v>
      </c>
      <c r="AG165" s="82" t="n">
        <f aca="false">IF(AQ165="2",BI165,0)</f>
        <v>0</v>
      </c>
      <c r="AH165" s="82" t="n">
        <f aca="false">IF(AQ165="0",BJ165,0)</f>
        <v>0</v>
      </c>
      <c r="AI165" s="64" t="s">
        <v>99</v>
      </c>
      <c r="AJ165" s="82" t="n">
        <f aca="false">IF(AN165=0,L165,0)</f>
        <v>0</v>
      </c>
      <c r="AK165" s="82" t="n">
        <f aca="false">IF(AN165=15,L165,0)</f>
        <v>0</v>
      </c>
      <c r="AL165" s="82" t="n">
        <f aca="false">IF(AN165=21,L165,0)</f>
        <v>0</v>
      </c>
      <c r="AM165" s="51"/>
      <c r="AN165" s="82" t="n">
        <v>21</v>
      </c>
      <c r="AO165" s="82" t="n">
        <f aca="false">I165*1</f>
        <v>0</v>
      </c>
      <c r="AP165" s="82" t="n">
        <f aca="false">I165*(1-1)</f>
        <v>0</v>
      </c>
      <c r="AQ165" s="83" t="s">
        <v>515</v>
      </c>
      <c r="AR165" s="51"/>
      <c r="AS165" s="51"/>
      <c r="AT165" s="51"/>
      <c r="AU165" s="51"/>
      <c r="AV165" s="82" t="n">
        <f aca="false">AW165+AX165</f>
        <v>0</v>
      </c>
      <c r="AW165" s="82" t="n">
        <f aca="false">H165*AO165</f>
        <v>0</v>
      </c>
      <c r="AX165" s="82" t="n">
        <f aca="false">H165*AP165</f>
        <v>0</v>
      </c>
      <c r="AY165" s="83" t="s">
        <v>516</v>
      </c>
      <c r="AZ165" s="83" t="s">
        <v>517</v>
      </c>
      <c r="BA165" s="64" t="s">
        <v>107</v>
      </c>
      <c r="BB165" s="51"/>
      <c r="BC165" s="82" t="n">
        <f aca="false">AW165+AX165</f>
        <v>0</v>
      </c>
      <c r="BD165" s="82" t="n">
        <f aca="false">I165/(100-BE165)*100</f>
        <v>0</v>
      </c>
      <c r="BE165" s="82" t="n">
        <v>0</v>
      </c>
      <c r="BF165" s="82" t="n">
        <f aca="false">165</f>
        <v>165</v>
      </c>
      <c r="BG165" s="51"/>
      <c r="BH165" s="82" t="n">
        <f aca="false">H165*AO165</f>
        <v>0</v>
      </c>
      <c r="BI165" s="82" t="n">
        <f aca="false">H165*AP165</f>
        <v>0</v>
      </c>
      <c r="BJ165" s="82" t="n">
        <f aca="false">H165*I165</f>
        <v>0</v>
      </c>
      <c r="BK165" s="82"/>
      <c r="BL165" s="82"/>
    </row>
    <row r="166" customFormat="false" ht="15" hidden="false" customHeight="true" outlineLevel="0" collapsed="false">
      <c r="A166" s="78" t="s">
        <v>531</v>
      </c>
      <c r="B166" s="14" t="s">
        <v>532</v>
      </c>
      <c r="C166" s="14" t="s">
        <v>533</v>
      </c>
      <c r="D166" s="14"/>
      <c r="E166" s="14"/>
      <c r="F166" s="14"/>
      <c r="G166" s="14" t="s">
        <v>111</v>
      </c>
      <c r="H166" s="79" t="n">
        <v>22</v>
      </c>
      <c r="I166" s="80" t="n">
        <v>0</v>
      </c>
      <c r="J166" s="79" t="n">
        <f aca="false">H166*AO166</f>
        <v>0</v>
      </c>
      <c r="K166" s="79" t="n">
        <f aca="false">H166*AP166</f>
        <v>0</v>
      </c>
      <c r="L166" s="79" t="n">
        <f aca="false">H166*I166</f>
        <v>0</v>
      </c>
      <c r="M166" s="81" t="s">
        <v>104</v>
      </c>
      <c r="N166" s="53"/>
      <c r="O166" s="53"/>
      <c r="P166" s="53"/>
      <c r="Q166" s="53"/>
      <c r="R166" s="53"/>
      <c r="S166" s="53"/>
      <c r="T166" s="53"/>
      <c r="U166" s="53"/>
      <c r="V166" s="53"/>
      <c r="W166" s="53"/>
      <c r="X166" s="53"/>
      <c r="Y166" s="51"/>
      <c r="Z166" s="82" t="n">
        <f aca="false">IF(AQ166="5",BJ166,0)</f>
        <v>0</v>
      </c>
      <c r="AA166" s="51"/>
      <c r="AB166" s="82" t="n">
        <f aca="false">IF(AQ166="1",BH166,0)</f>
        <v>0</v>
      </c>
      <c r="AC166" s="82" t="n">
        <f aca="false">IF(AQ166="1",BI166,0)</f>
        <v>0</v>
      </c>
      <c r="AD166" s="82" t="n">
        <f aca="false">IF(AQ166="7",BH166,0)</f>
        <v>0</v>
      </c>
      <c r="AE166" s="82" t="n">
        <f aca="false">IF(AQ166="7",BI166,0)</f>
        <v>0</v>
      </c>
      <c r="AF166" s="82" t="n">
        <f aca="false">IF(AQ166="2",BH166,0)</f>
        <v>0</v>
      </c>
      <c r="AG166" s="82" t="n">
        <f aca="false">IF(AQ166="2",BI166,0)</f>
        <v>0</v>
      </c>
      <c r="AH166" s="82" t="n">
        <f aca="false">IF(AQ166="0",BJ166,0)</f>
        <v>0</v>
      </c>
      <c r="AI166" s="64" t="s">
        <v>99</v>
      </c>
      <c r="AJ166" s="82" t="n">
        <f aca="false">IF(AN166=0,L166,0)</f>
        <v>0</v>
      </c>
      <c r="AK166" s="82" t="n">
        <f aca="false">IF(AN166=15,L166,0)</f>
        <v>0</v>
      </c>
      <c r="AL166" s="82" t="n">
        <f aca="false">IF(AN166=21,L166,0)</f>
        <v>0</v>
      </c>
      <c r="AM166" s="51"/>
      <c r="AN166" s="82" t="n">
        <v>21</v>
      </c>
      <c r="AO166" s="82" t="n">
        <f aca="false">I166*1</f>
        <v>0</v>
      </c>
      <c r="AP166" s="82" t="n">
        <f aca="false">I166*(1-1)</f>
        <v>0</v>
      </c>
      <c r="AQ166" s="83" t="s">
        <v>515</v>
      </c>
      <c r="AR166" s="51"/>
      <c r="AS166" s="51"/>
      <c r="AT166" s="51"/>
      <c r="AU166" s="51"/>
      <c r="AV166" s="82" t="n">
        <f aca="false">AW166+AX166</f>
        <v>0</v>
      </c>
      <c r="AW166" s="82" t="n">
        <f aca="false">H166*AO166</f>
        <v>0</v>
      </c>
      <c r="AX166" s="82" t="n">
        <f aca="false">H166*AP166</f>
        <v>0</v>
      </c>
      <c r="AY166" s="83" t="s">
        <v>516</v>
      </c>
      <c r="AZ166" s="83" t="s">
        <v>517</v>
      </c>
      <c r="BA166" s="64" t="s">
        <v>107</v>
      </c>
      <c r="BB166" s="51"/>
      <c r="BC166" s="82" t="n">
        <f aca="false">AW166+AX166</f>
        <v>0</v>
      </c>
      <c r="BD166" s="82" t="n">
        <f aca="false">I166/(100-BE166)*100</f>
        <v>0</v>
      </c>
      <c r="BE166" s="82" t="n">
        <v>0</v>
      </c>
      <c r="BF166" s="82" t="n">
        <f aca="false">166</f>
        <v>166</v>
      </c>
      <c r="BG166" s="51"/>
      <c r="BH166" s="82" t="n">
        <f aca="false">H166*AO166</f>
        <v>0</v>
      </c>
      <c r="BI166" s="82" t="n">
        <f aca="false">H166*AP166</f>
        <v>0</v>
      </c>
      <c r="BJ166" s="82" t="n">
        <f aca="false">H166*I166</f>
        <v>0</v>
      </c>
      <c r="BK166" s="82"/>
      <c r="BL166" s="82"/>
    </row>
    <row r="167" customFormat="false" ht="15" hidden="false" customHeight="true" outlineLevel="0" collapsed="false">
      <c r="A167" s="78" t="s">
        <v>534</v>
      </c>
      <c r="B167" s="14" t="s">
        <v>535</v>
      </c>
      <c r="C167" s="14" t="s">
        <v>536</v>
      </c>
      <c r="D167" s="14"/>
      <c r="E167" s="14"/>
      <c r="F167" s="14"/>
      <c r="G167" s="14" t="s">
        <v>111</v>
      </c>
      <c r="H167" s="79" t="n">
        <v>10</v>
      </c>
      <c r="I167" s="80" t="n">
        <v>0</v>
      </c>
      <c r="J167" s="79" t="n">
        <f aca="false">H167*AO167</f>
        <v>0</v>
      </c>
      <c r="K167" s="79" t="n">
        <f aca="false">H167*AP167</f>
        <v>0</v>
      </c>
      <c r="L167" s="79" t="n">
        <f aca="false">H167*I167</f>
        <v>0</v>
      </c>
      <c r="M167" s="81" t="s">
        <v>104</v>
      </c>
      <c r="N167" s="53"/>
      <c r="O167" s="53"/>
      <c r="P167" s="53"/>
      <c r="Q167" s="53"/>
      <c r="R167" s="53"/>
      <c r="S167" s="53"/>
      <c r="T167" s="53"/>
      <c r="U167" s="53"/>
      <c r="V167" s="53"/>
      <c r="W167" s="53"/>
      <c r="X167" s="53"/>
      <c r="Y167" s="51"/>
      <c r="Z167" s="82" t="n">
        <f aca="false">IF(AQ167="5",BJ167,0)</f>
        <v>0</v>
      </c>
      <c r="AA167" s="51"/>
      <c r="AB167" s="82" t="n">
        <f aca="false">IF(AQ167="1",BH167,0)</f>
        <v>0</v>
      </c>
      <c r="AC167" s="82" t="n">
        <f aca="false">IF(AQ167="1",BI167,0)</f>
        <v>0</v>
      </c>
      <c r="AD167" s="82" t="n">
        <f aca="false">IF(AQ167="7",BH167,0)</f>
        <v>0</v>
      </c>
      <c r="AE167" s="82" t="n">
        <f aca="false">IF(AQ167="7",BI167,0)</f>
        <v>0</v>
      </c>
      <c r="AF167" s="82" t="n">
        <f aca="false">IF(AQ167="2",BH167,0)</f>
        <v>0</v>
      </c>
      <c r="AG167" s="82" t="n">
        <f aca="false">IF(AQ167="2",BI167,0)</f>
        <v>0</v>
      </c>
      <c r="AH167" s="82" t="n">
        <f aca="false">IF(AQ167="0",BJ167,0)</f>
        <v>0</v>
      </c>
      <c r="AI167" s="64" t="s">
        <v>99</v>
      </c>
      <c r="AJ167" s="82" t="n">
        <f aca="false">IF(AN167=0,L167,0)</f>
        <v>0</v>
      </c>
      <c r="AK167" s="82" t="n">
        <f aca="false">IF(AN167=15,L167,0)</f>
        <v>0</v>
      </c>
      <c r="AL167" s="82" t="n">
        <f aca="false">IF(AN167=21,L167,0)</f>
        <v>0</v>
      </c>
      <c r="AM167" s="51"/>
      <c r="AN167" s="82" t="n">
        <v>21</v>
      </c>
      <c r="AO167" s="82" t="n">
        <f aca="false">I167*1</f>
        <v>0</v>
      </c>
      <c r="AP167" s="82" t="n">
        <f aca="false">I167*(1-1)</f>
        <v>0</v>
      </c>
      <c r="AQ167" s="83" t="s">
        <v>515</v>
      </c>
      <c r="AR167" s="51"/>
      <c r="AS167" s="51"/>
      <c r="AT167" s="51"/>
      <c r="AU167" s="51"/>
      <c r="AV167" s="82" t="n">
        <f aca="false">AW167+AX167</f>
        <v>0</v>
      </c>
      <c r="AW167" s="82" t="n">
        <f aca="false">H167*AO167</f>
        <v>0</v>
      </c>
      <c r="AX167" s="82" t="n">
        <f aca="false">H167*AP167</f>
        <v>0</v>
      </c>
      <c r="AY167" s="83" t="s">
        <v>516</v>
      </c>
      <c r="AZ167" s="83" t="s">
        <v>517</v>
      </c>
      <c r="BA167" s="64" t="s">
        <v>107</v>
      </c>
      <c r="BB167" s="51"/>
      <c r="BC167" s="82" t="n">
        <f aca="false">AW167+AX167</f>
        <v>0</v>
      </c>
      <c r="BD167" s="82" t="n">
        <f aca="false">I167/(100-BE167)*100</f>
        <v>0</v>
      </c>
      <c r="BE167" s="82" t="n">
        <v>0</v>
      </c>
      <c r="BF167" s="82" t="n">
        <f aca="false">167</f>
        <v>167</v>
      </c>
      <c r="BG167" s="51"/>
      <c r="BH167" s="82" t="n">
        <f aca="false">H167*AO167</f>
        <v>0</v>
      </c>
      <c r="BI167" s="82" t="n">
        <f aca="false">H167*AP167</f>
        <v>0</v>
      </c>
      <c r="BJ167" s="82" t="n">
        <f aca="false">H167*I167</f>
        <v>0</v>
      </c>
      <c r="BK167" s="82"/>
      <c r="BL167" s="82"/>
    </row>
    <row r="168" customFormat="false" ht="15" hidden="false" customHeight="true" outlineLevel="0" collapsed="false">
      <c r="A168" s="78" t="s">
        <v>537</v>
      </c>
      <c r="B168" s="14" t="s">
        <v>538</v>
      </c>
      <c r="C168" s="14" t="s">
        <v>539</v>
      </c>
      <c r="D168" s="14"/>
      <c r="E168" s="14"/>
      <c r="F168" s="14"/>
      <c r="G168" s="14" t="s">
        <v>111</v>
      </c>
      <c r="H168" s="79" t="n">
        <v>94</v>
      </c>
      <c r="I168" s="80" t="n">
        <v>0</v>
      </c>
      <c r="J168" s="79" t="n">
        <f aca="false">H168*AO168</f>
        <v>0</v>
      </c>
      <c r="K168" s="79" t="n">
        <f aca="false">H168*AP168</f>
        <v>0</v>
      </c>
      <c r="L168" s="79" t="n">
        <f aca="false">H168*I168</f>
        <v>0</v>
      </c>
      <c r="M168" s="81" t="s">
        <v>104</v>
      </c>
      <c r="N168" s="53"/>
      <c r="O168" s="53"/>
      <c r="P168" s="53"/>
      <c r="Q168" s="53"/>
      <c r="R168" s="53"/>
      <c r="S168" s="53"/>
      <c r="T168" s="53"/>
      <c r="U168" s="53"/>
      <c r="V168" s="53"/>
      <c r="W168" s="53"/>
      <c r="X168" s="53"/>
      <c r="Y168" s="51"/>
      <c r="Z168" s="82" t="n">
        <f aca="false">IF(AQ168="5",BJ168,0)</f>
        <v>0</v>
      </c>
      <c r="AA168" s="51"/>
      <c r="AB168" s="82" t="n">
        <f aca="false">IF(AQ168="1",BH168,0)</f>
        <v>0</v>
      </c>
      <c r="AC168" s="82" t="n">
        <f aca="false">IF(AQ168="1",BI168,0)</f>
        <v>0</v>
      </c>
      <c r="AD168" s="82" t="n">
        <f aca="false">IF(AQ168="7",BH168,0)</f>
        <v>0</v>
      </c>
      <c r="AE168" s="82" t="n">
        <f aca="false">IF(AQ168="7",BI168,0)</f>
        <v>0</v>
      </c>
      <c r="AF168" s="82" t="n">
        <f aca="false">IF(AQ168="2",BH168,0)</f>
        <v>0</v>
      </c>
      <c r="AG168" s="82" t="n">
        <f aca="false">IF(AQ168="2",BI168,0)</f>
        <v>0</v>
      </c>
      <c r="AH168" s="82" t="n">
        <f aca="false">IF(AQ168="0",BJ168,0)</f>
        <v>0</v>
      </c>
      <c r="AI168" s="64" t="s">
        <v>99</v>
      </c>
      <c r="AJ168" s="82" t="n">
        <f aca="false">IF(AN168=0,L168,0)</f>
        <v>0</v>
      </c>
      <c r="AK168" s="82" t="n">
        <f aca="false">IF(AN168=15,L168,0)</f>
        <v>0</v>
      </c>
      <c r="AL168" s="82" t="n">
        <f aca="false">IF(AN168=21,L168,0)</f>
        <v>0</v>
      </c>
      <c r="AM168" s="51"/>
      <c r="AN168" s="82" t="n">
        <v>21</v>
      </c>
      <c r="AO168" s="82" t="n">
        <f aca="false">I168*1</f>
        <v>0</v>
      </c>
      <c r="AP168" s="82" t="n">
        <f aca="false">I168*(1-1)</f>
        <v>0</v>
      </c>
      <c r="AQ168" s="83" t="s">
        <v>515</v>
      </c>
      <c r="AR168" s="51"/>
      <c r="AS168" s="51"/>
      <c r="AT168" s="51"/>
      <c r="AU168" s="51"/>
      <c r="AV168" s="82" t="n">
        <f aca="false">AW168+AX168</f>
        <v>0</v>
      </c>
      <c r="AW168" s="82" t="n">
        <f aca="false">H168*AO168</f>
        <v>0</v>
      </c>
      <c r="AX168" s="82" t="n">
        <f aca="false">H168*AP168</f>
        <v>0</v>
      </c>
      <c r="AY168" s="83" t="s">
        <v>516</v>
      </c>
      <c r="AZ168" s="83" t="s">
        <v>517</v>
      </c>
      <c r="BA168" s="64" t="s">
        <v>107</v>
      </c>
      <c r="BB168" s="51"/>
      <c r="BC168" s="82" t="n">
        <f aca="false">AW168+AX168</f>
        <v>0</v>
      </c>
      <c r="BD168" s="82" t="n">
        <f aca="false">I168/(100-BE168)*100</f>
        <v>0</v>
      </c>
      <c r="BE168" s="82" t="n">
        <v>0</v>
      </c>
      <c r="BF168" s="82" t="n">
        <f aca="false">168</f>
        <v>168</v>
      </c>
      <c r="BG168" s="51"/>
      <c r="BH168" s="82" t="n">
        <f aca="false">H168*AO168</f>
        <v>0</v>
      </c>
      <c r="BI168" s="82" t="n">
        <f aca="false">H168*AP168</f>
        <v>0</v>
      </c>
      <c r="BJ168" s="82" t="n">
        <f aca="false">H168*I168</f>
        <v>0</v>
      </c>
      <c r="BK168" s="82"/>
      <c r="BL168" s="82"/>
    </row>
    <row r="169" customFormat="false" ht="15" hidden="false" customHeight="true" outlineLevel="0" collapsed="false">
      <c r="A169" s="78" t="s">
        <v>540</v>
      </c>
      <c r="B169" s="14" t="s">
        <v>541</v>
      </c>
      <c r="C169" s="14" t="s">
        <v>542</v>
      </c>
      <c r="D169" s="14"/>
      <c r="E169" s="14"/>
      <c r="F169" s="14"/>
      <c r="G169" s="14" t="s">
        <v>111</v>
      </c>
      <c r="H169" s="79" t="n">
        <v>47</v>
      </c>
      <c r="I169" s="80" t="n">
        <v>0</v>
      </c>
      <c r="J169" s="79" t="n">
        <f aca="false">H169*AO169</f>
        <v>0</v>
      </c>
      <c r="K169" s="79" t="n">
        <f aca="false">H169*AP169</f>
        <v>0</v>
      </c>
      <c r="L169" s="79" t="n">
        <f aca="false">H169*I169</f>
        <v>0</v>
      </c>
      <c r="M169" s="81" t="s">
        <v>104</v>
      </c>
      <c r="N169" s="53"/>
      <c r="O169" s="53"/>
      <c r="P169" s="53"/>
      <c r="Q169" s="53"/>
      <c r="R169" s="53"/>
      <c r="S169" s="53"/>
      <c r="T169" s="53"/>
      <c r="U169" s="53"/>
      <c r="V169" s="53"/>
      <c r="W169" s="53"/>
      <c r="X169" s="53"/>
      <c r="Y169" s="51"/>
      <c r="Z169" s="82" t="n">
        <f aca="false">IF(AQ169="5",BJ169,0)</f>
        <v>0</v>
      </c>
      <c r="AA169" s="51"/>
      <c r="AB169" s="82" t="n">
        <f aca="false">IF(AQ169="1",BH169,0)</f>
        <v>0</v>
      </c>
      <c r="AC169" s="82" t="n">
        <f aca="false">IF(AQ169="1",BI169,0)</f>
        <v>0</v>
      </c>
      <c r="AD169" s="82" t="n">
        <f aca="false">IF(AQ169="7",BH169,0)</f>
        <v>0</v>
      </c>
      <c r="AE169" s="82" t="n">
        <f aca="false">IF(AQ169="7",BI169,0)</f>
        <v>0</v>
      </c>
      <c r="AF169" s="82" t="n">
        <f aca="false">IF(AQ169="2",BH169,0)</f>
        <v>0</v>
      </c>
      <c r="AG169" s="82" t="n">
        <f aca="false">IF(AQ169="2",BI169,0)</f>
        <v>0</v>
      </c>
      <c r="AH169" s="82" t="n">
        <f aca="false">IF(AQ169="0",BJ169,0)</f>
        <v>0</v>
      </c>
      <c r="AI169" s="64" t="s">
        <v>99</v>
      </c>
      <c r="AJ169" s="82" t="n">
        <f aca="false">IF(AN169=0,L169,0)</f>
        <v>0</v>
      </c>
      <c r="AK169" s="82" t="n">
        <f aca="false">IF(AN169=15,L169,0)</f>
        <v>0</v>
      </c>
      <c r="AL169" s="82" t="n">
        <f aca="false">IF(AN169=21,L169,0)</f>
        <v>0</v>
      </c>
      <c r="AM169" s="51"/>
      <c r="AN169" s="82" t="n">
        <v>21</v>
      </c>
      <c r="AO169" s="82" t="n">
        <f aca="false">I169*1</f>
        <v>0</v>
      </c>
      <c r="AP169" s="82" t="n">
        <f aca="false">I169*(1-1)</f>
        <v>0</v>
      </c>
      <c r="AQ169" s="83" t="s">
        <v>515</v>
      </c>
      <c r="AR169" s="51"/>
      <c r="AS169" s="51"/>
      <c r="AT169" s="51"/>
      <c r="AU169" s="51"/>
      <c r="AV169" s="82" t="n">
        <f aca="false">AW169+AX169</f>
        <v>0</v>
      </c>
      <c r="AW169" s="82" t="n">
        <f aca="false">H169*AO169</f>
        <v>0</v>
      </c>
      <c r="AX169" s="82" t="n">
        <f aca="false">H169*AP169</f>
        <v>0</v>
      </c>
      <c r="AY169" s="83" t="s">
        <v>516</v>
      </c>
      <c r="AZ169" s="83" t="s">
        <v>517</v>
      </c>
      <c r="BA169" s="64" t="s">
        <v>107</v>
      </c>
      <c r="BB169" s="51"/>
      <c r="BC169" s="82" t="n">
        <f aca="false">AW169+AX169</f>
        <v>0</v>
      </c>
      <c r="BD169" s="82" t="n">
        <f aca="false">I169/(100-BE169)*100</f>
        <v>0</v>
      </c>
      <c r="BE169" s="82" t="n">
        <v>0</v>
      </c>
      <c r="BF169" s="82" t="n">
        <f aca="false">169</f>
        <v>169</v>
      </c>
      <c r="BG169" s="51"/>
      <c r="BH169" s="82" t="n">
        <f aca="false">H169*AO169</f>
        <v>0</v>
      </c>
      <c r="BI169" s="82" t="n">
        <f aca="false">H169*AP169</f>
        <v>0</v>
      </c>
      <c r="BJ169" s="82" t="n">
        <f aca="false">H169*I169</f>
        <v>0</v>
      </c>
      <c r="BK169" s="82"/>
      <c r="BL169" s="82"/>
    </row>
    <row r="170" customFormat="false" ht="15" hidden="false" customHeight="true" outlineLevel="0" collapsed="false">
      <c r="A170" s="78" t="s">
        <v>543</v>
      </c>
      <c r="B170" s="14" t="s">
        <v>544</v>
      </c>
      <c r="C170" s="14" t="s">
        <v>545</v>
      </c>
      <c r="D170" s="14"/>
      <c r="E170" s="14"/>
      <c r="F170" s="14"/>
      <c r="G170" s="14" t="s">
        <v>111</v>
      </c>
      <c r="H170" s="79" t="n">
        <v>222</v>
      </c>
      <c r="I170" s="80" t="n">
        <v>0</v>
      </c>
      <c r="J170" s="79" t="n">
        <f aca="false">H170*AO170</f>
        <v>0</v>
      </c>
      <c r="K170" s="79" t="n">
        <f aca="false">H170*AP170</f>
        <v>0</v>
      </c>
      <c r="L170" s="79" t="n">
        <f aca="false">H170*I170</f>
        <v>0</v>
      </c>
      <c r="M170" s="81" t="s">
        <v>104</v>
      </c>
      <c r="N170" s="53"/>
      <c r="O170" s="53"/>
      <c r="P170" s="53"/>
      <c r="Q170" s="53"/>
      <c r="R170" s="53"/>
      <c r="S170" s="53"/>
      <c r="T170" s="53"/>
      <c r="U170" s="53"/>
      <c r="V170" s="53"/>
      <c r="W170" s="53"/>
      <c r="X170" s="53"/>
      <c r="Y170" s="51"/>
      <c r="Z170" s="82" t="n">
        <f aca="false">IF(AQ170="5",BJ170,0)</f>
        <v>0</v>
      </c>
      <c r="AA170" s="51"/>
      <c r="AB170" s="82" t="n">
        <f aca="false">IF(AQ170="1",BH170,0)</f>
        <v>0</v>
      </c>
      <c r="AC170" s="82" t="n">
        <f aca="false">IF(AQ170="1",BI170,0)</f>
        <v>0</v>
      </c>
      <c r="AD170" s="82" t="n">
        <f aca="false">IF(AQ170="7",BH170,0)</f>
        <v>0</v>
      </c>
      <c r="AE170" s="82" t="n">
        <f aca="false">IF(AQ170="7",BI170,0)</f>
        <v>0</v>
      </c>
      <c r="AF170" s="82" t="n">
        <f aca="false">IF(AQ170="2",BH170,0)</f>
        <v>0</v>
      </c>
      <c r="AG170" s="82" t="n">
        <f aca="false">IF(AQ170="2",BI170,0)</f>
        <v>0</v>
      </c>
      <c r="AH170" s="82" t="n">
        <f aca="false">IF(AQ170="0",BJ170,0)</f>
        <v>0</v>
      </c>
      <c r="AI170" s="64" t="s">
        <v>99</v>
      </c>
      <c r="AJ170" s="82" t="n">
        <f aca="false">IF(AN170=0,L170,0)</f>
        <v>0</v>
      </c>
      <c r="AK170" s="82" t="n">
        <f aca="false">IF(AN170=15,L170,0)</f>
        <v>0</v>
      </c>
      <c r="AL170" s="82" t="n">
        <f aca="false">IF(AN170=21,L170,0)</f>
        <v>0</v>
      </c>
      <c r="AM170" s="51"/>
      <c r="AN170" s="82" t="n">
        <v>21</v>
      </c>
      <c r="AO170" s="82" t="n">
        <f aca="false">I170*1</f>
        <v>0</v>
      </c>
      <c r="AP170" s="82" t="n">
        <f aca="false">I170*(1-1)</f>
        <v>0</v>
      </c>
      <c r="AQ170" s="83" t="s">
        <v>515</v>
      </c>
      <c r="AR170" s="51"/>
      <c r="AS170" s="51"/>
      <c r="AT170" s="51"/>
      <c r="AU170" s="51"/>
      <c r="AV170" s="82" t="n">
        <f aca="false">AW170+AX170</f>
        <v>0</v>
      </c>
      <c r="AW170" s="82" t="n">
        <f aca="false">H170*AO170</f>
        <v>0</v>
      </c>
      <c r="AX170" s="82" t="n">
        <f aca="false">H170*AP170</f>
        <v>0</v>
      </c>
      <c r="AY170" s="83" t="s">
        <v>516</v>
      </c>
      <c r="AZ170" s="83" t="s">
        <v>517</v>
      </c>
      <c r="BA170" s="64" t="s">
        <v>107</v>
      </c>
      <c r="BB170" s="51"/>
      <c r="BC170" s="82" t="n">
        <f aca="false">AW170+AX170</f>
        <v>0</v>
      </c>
      <c r="BD170" s="82" t="n">
        <f aca="false">I170/(100-BE170)*100</f>
        <v>0</v>
      </c>
      <c r="BE170" s="82" t="n">
        <v>0</v>
      </c>
      <c r="BF170" s="82" t="n">
        <f aca="false">170</f>
        <v>170</v>
      </c>
      <c r="BG170" s="51"/>
      <c r="BH170" s="82" t="n">
        <f aca="false">H170*AO170</f>
        <v>0</v>
      </c>
      <c r="BI170" s="82" t="n">
        <f aca="false">H170*AP170</f>
        <v>0</v>
      </c>
      <c r="BJ170" s="82" t="n">
        <f aca="false">H170*I170</f>
        <v>0</v>
      </c>
      <c r="BK170" s="82"/>
      <c r="BL170" s="82"/>
    </row>
    <row r="171" customFormat="false" ht="15" hidden="false" customHeight="true" outlineLevel="0" collapsed="false">
      <c r="A171" s="78" t="s">
        <v>546</v>
      </c>
      <c r="B171" s="14" t="s">
        <v>547</v>
      </c>
      <c r="C171" s="14" t="s">
        <v>548</v>
      </c>
      <c r="D171" s="14"/>
      <c r="E171" s="14"/>
      <c r="F171" s="14"/>
      <c r="G171" s="14" t="s">
        <v>111</v>
      </c>
      <c r="H171" s="79" t="n">
        <v>12</v>
      </c>
      <c r="I171" s="80" t="n">
        <v>0</v>
      </c>
      <c r="J171" s="79" t="n">
        <f aca="false">H171*AO171</f>
        <v>0</v>
      </c>
      <c r="K171" s="79" t="n">
        <f aca="false">H171*AP171</f>
        <v>0</v>
      </c>
      <c r="L171" s="79" t="n">
        <f aca="false">H171*I171</f>
        <v>0</v>
      </c>
      <c r="M171" s="81" t="s">
        <v>104</v>
      </c>
      <c r="N171" s="53"/>
      <c r="O171" s="53"/>
      <c r="P171" s="53"/>
      <c r="Q171" s="53"/>
      <c r="R171" s="53"/>
      <c r="S171" s="53"/>
      <c r="T171" s="53"/>
      <c r="U171" s="53"/>
      <c r="V171" s="53"/>
      <c r="W171" s="53"/>
      <c r="X171" s="53"/>
      <c r="Y171" s="51"/>
      <c r="Z171" s="82" t="n">
        <f aca="false">IF(AQ171="5",BJ171,0)</f>
        <v>0</v>
      </c>
      <c r="AA171" s="51"/>
      <c r="AB171" s="82" t="n">
        <f aca="false">IF(AQ171="1",BH171,0)</f>
        <v>0</v>
      </c>
      <c r="AC171" s="82" t="n">
        <f aca="false">IF(AQ171="1",BI171,0)</f>
        <v>0</v>
      </c>
      <c r="AD171" s="82" t="n">
        <f aca="false">IF(AQ171="7",BH171,0)</f>
        <v>0</v>
      </c>
      <c r="AE171" s="82" t="n">
        <f aca="false">IF(AQ171="7",BI171,0)</f>
        <v>0</v>
      </c>
      <c r="AF171" s="82" t="n">
        <f aca="false">IF(AQ171="2",BH171,0)</f>
        <v>0</v>
      </c>
      <c r="AG171" s="82" t="n">
        <f aca="false">IF(AQ171="2",BI171,0)</f>
        <v>0</v>
      </c>
      <c r="AH171" s="82" t="n">
        <f aca="false">IF(AQ171="0",BJ171,0)</f>
        <v>0</v>
      </c>
      <c r="AI171" s="64" t="s">
        <v>99</v>
      </c>
      <c r="AJ171" s="82" t="n">
        <f aca="false">IF(AN171=0,L171,0)</f>
        <v>0</v>
      </c>
      <c r="AK171" s="82" t="n">
        <f aca="false">IF(AN171=15,L171,0)</f>
        <v>0</v>
      </c>
      <c r="AL171" s="82" t="n">
        <f aca="false">IF(AN171=21,L171,0)</f>
        <v>0</v>
      </c>
      <c r="AM171" s="51"/>
      <c r="AN171" s="82" t="n">
        <v>21</v>
      </c>
      <c r="AO171" s="82" t="n">
        <f aca="false">I171*1</f>
        <v>0</v>
      </c>
      <c r="AP171" s="82" t="n">
        <f aca="false">I171*(1-1)</f>
        <v>0</v>
      </c>
      <c r="AQ171" s="83" t="s">
        <v>515</v>
      </c>
      <c r="AR171" s="51"/>
      <c r="AS171" s="51"/>
      <c r="AT171" s="51"/>
      <c r="AU171" s="51"/>
      <c r="AV171" s="82" t="n">
        <f aca="false">AW171+AX171</f>
        <v>0</v>
      </c>
      <c r="AW171" s="82" t="n">
        <f aca="false">H171*AO171</f>
        <v>0</v>
      </c>
      <c r="AX171" s="82" t="n">
        <f aca="false">H171*AP171</f>
        <v>0</v>
      </c>
      <c r="AY171" s="83" t="s">
        <v>516</v>
      </c>
      <c r="AZ171" s="83" t="s">
        <v>517</v>
      </c>
      <c r="BA171" s="64" t="s">
        <v>107</v>
      </c>
      <c r="BB171" s="51"/>
      <c r="BC171" s="82" t="n">
        <f aca="false">AW171+AX171</f>
        <v>0</v>
      </c>
      <c r="BD171" s="82" t="n">
        <f aca="false">I171/(100-BE171)*100</f>
        <v>0</v>
      </c>
      <c r="BE171" s="82" t="n">
        <v>0</v>
      </c>
      <c r="BF171" s="82" t="n">
        <f aca="false">171</f>
        <v>171</v>
      </c>
      <c r="BG171" s="51"/>
      <c r="BH171" s="82" t="n">
        <f aca="false">H171*AO171</f>
        <v>0</v>
      </c>
      <c r="BI171" s="82" t="n">
        <f aca="false">H171*AP171</f>
        <v>0</v>
      </c>
      <c r="BJ171" s="82" t="n">
        <f aca="false">H171*I171</f>
        <v>0</v>
      </c>
      <c r="BK171" s="82"/>
      <c r="BL171" s="82"/>
    </row>
    <row r="172" customFormat="false" ht="15" hidden="false" customHeight="true" outlineLevel="0" collapsed="false">
      <c r="A172" s="78" t="s">
        <v>549</v>
      </c>
      <c r="B172" s="14" t="s">
        <v>550</v>
      </c>
      <c r="C172" s="14" t="s">
        <v>551</v>
      </c>
      <c r="D172" s="14"/>
      <c r="E172" s="14"/>
      <c r="F172" s="14"/>
      <c r="G172" s="14" t="s">
        <v>111</v>
      </c>
      <c r="H172" s="79" t="n">
        <v>3</v>
      </c>
      <c r="I172" s="80" t="n">
        <v>0</v>
      </c>
      <c r="J172" s="79" t="n">
        <f aca="false">H172*AO172</f>
        <v>0</v>
      </c>
      <c r="K172" s="79" t="n">
        <f aca="false">H172*AP172</f>
        <v>0</v>
      </c>
      <c r="L172" s="79" t="n">
        <f aca="false">H172*I172</f>
        <v>0</v>
      </c>
      <c r="M172" s="81" t="s">
        <v>104</v>
      </c>
      <c r="N172" s="53"/>
      <c r="O172" s="53"/>
      <c r="P172" s="53"/>
      <c r="Q172" s="53"/>
      <c r="R172" s="53"/>
      <c r="S172" s="53"/>
      <c r="T172" s="53"/>
      <c r="U172" s="53"/>
      <c r="V172" s="53"/>
      <c r="W172" s="53"/>
      <c r="X172" s="53"/>
      <c r="Y172" s="51"/>
      <c r="Z172" s="82" t="n">
        <f aca="false">IF(AQ172="5",BJ172,0)</f>
        <v>0</v>
      </c>
      <c r="AA172" s="51"/>
      <c r="AB172" s="82" t="n">
        <f aca="false">IF(AQ172="1",BH172,0)</f>
        <v>0</v>
      </c>
      <c r="AC172" s="82" t="n">
        <f aca="false">IF(AQ172="1",BI172,0)</f>
        <v>0</v>
      </c>
      <c r="AD172" s="82" t="n">
        <f aca="false">IF(AQ172="7",BH172,0)</f>
        <v>0</v>
      </c>
      <c r="AE172" s="82" t="n">
        <f aca="false">IF(AQ172="7",BI172,0)</f>
        <v>0</v>
      </c>
      <c r="AF172" s="82" t="n">
        <f aca="false">IF(AQ172="2",BH172,0)</f>
        <v>0</v>
      </c>
      <c r="AG172" s="82" t="n">
        <f aca="false">IF(AQ172="2",BI172,0)</f>
        <v>0</v>
      </c>
      <c r="AH172" s="82" t="n">
        <f aca="false">IF(AQ172="0",BJ172,0)</f>
        <v>0</v>
      </c>
      <c r="AI172" s="64" t="s">
        <v>99</v>
      </c>
      <c r="AJ172" s="82" t="n">
        <f aca="false">IF(AN172=0,L172,0)</f>
        <v>0</v>
      </c>
      <c r="AK172" s="82" t="n">
        <f aca="false">IF(AN172=15,L172,0)</f>
        <v>0</v>
      </c>
      <c r="AL172" s="82" t="n">
        <f aca="false">IF(AN172=21,L172,0)</f>
        <v>0</v>
      </c>
      <c r="AM172" s="51"/>
      <c r="AN172" s="82" t="n">
        <v>21</v>
      </c>
      <c r="AO172" s="82" t="n">
        <f aca="false">I172*1</f>
        <v>0</v>
      </c>
      <c r="AP172" s="82" t="n">
        <f aca="false">I172*(1-1)</f>
        <v>0</v>
      </c>
      <c r="AQ172" s="83" t="s">
        <v>515</v>
      </c>
      <c r="AR172" s="51"/>
      <c r="AS172" s="51"/>
      <c r="AT172" s="51"/>
      <c r="AU172" s="51"/>
      <c r="AV172" s="82" t="n">
        <f aca="false">AW172+AX172</f>
        <v>0</v>
      </c>
      <c r="AW172" s="82" t="n">
        <f aca="false">H172*AO172</f>
        <v>0</v>
      </c>
      <c r="AX172" s="82" t="n">
        <f aca="false">H172*AP172</f>
        <v>0</v>
      </c>
      <c r="AY172" s="83" t="s">
        <v>516</v>
      </c>
      <c r="AZ172" s="83" t="s">
        <v>517</v>
      </c>
      <c r="BA172" s="64" t="s">
        <v>107</v>
      </c>
      <c r="BB172" s="51"/>
      <c r="BC172" s="82" t="n">
        <f aca="false">AW172+AX172</f>
        <v>0</v>
      </c>
      <c r="BD172" s="82" t="n">
        <f aca="false">I172/(100-BE172)*100</f>
        <v>0</v>
      </c>
      <c r="BE172" s="82" t="n">
        <v>0</v>
      </c>
      <c r="BF172" s="82" t="n">
        <f aca="false">172</f>
        <v>172</v>
      </c>
      <c r="BG172" s="51"/>
      <c r="BH172" s="82" t="n">
        <f aca="false">H172*AO172</f>
        <v>0</v>
      </c>
      <c r="BI172" s="82" t="n">
        <f aca="false">H172*AP172</f>
        <v>0</v>
      </c>
      <c r="BJ172" s="82" t="n">
        <f aca="false">H172*I172</f>
        <v>0</v>
      </c>
      <c r="BK172" s="82"/>
      <c r="BL172" s="82"/>
    </row>
    <row r="173" customFormat="false" ht="15" hidden="false" customHeight="true" outlineLevel="0" collapsed="false">
      <c r="A173" s="84" t="s">
        <v>552</v>
      </c>
      <c r="B173" s="19" t="s">
        <v>553</v>
      </c>
      <c r="C173" s="19" t="s">
        <v>554</v>
      </c>
      <c r="D173" s="19"/>
      <c r="E173" s="19"/>
      <c r="F173" s="19"/>
      <c r="G173" s="19" t="s">
        <v>111</v>
      </c>
      <c r="H173" s="85" t="n">
        <v>2</v>
      </c>
      <c r="I173" s="86" t="n">
        <v>0</v>
      </c>
      <c r="J173" s="85" t="n">
        <f aca="false">H173*AO173</f>
        <v>0</v>
      </c>
      <c r="K173" s="85" t="n">
        <f aca="false">H173*AP173</f>
        <v>0</v>
      </c>
      <c r="L173" s="85" t="n">
        <f aca="false">H173*I173</f>
        <v>0</v>
      </c>
      <c r="M173" s="87" t="s">
        <v>104</v>
      </c>
      <c r="N173" s="53"/>
      <c r="O173" s="53"/>
      <c r="P173" s="53"/>
      <c r="Q173" s="53"/>
      <c r="R173" s="53"/>
      <c r="S173" s="53"/>
      <c r="T173" s="53"/>
      <c r="U173" s="53"/>
      <c r="V173" s="53"/>
      <c r="W173" s="53"/>
      <c r="X173" s="53"/>
      <c r="Y173" s="51"/>
      <c r="Z173" s="82" t="n">
        <f aca="false">IF(AQ173="5",BJ173,0)</f>
        <v>0</v>
      </c>
      <c r="AA173" s="51"/>
      <c r="AB173" s="82" t="n">
        <f aca="false">IF(AQ173="1",BH173,0)</f>
        <v>0</v>
      </c>
      <c r="AC173" s="82" t="n">
        <f aca="false">IF(AQ173="1",BI173,0)</f>
        <v>0</v>
      </c>
      <c r="AD173" s="82" t="n">
        <f aca="false">IF(AQ173="7",BH173,0)</f>
        <v>0</v>
      </c>
      <c r="AE173" s="82" t="n">
        <f aca="false">IF(AQ173="7",BI173,0)</f>
        <v>0</v>
      </c>
      <c r="AF173" s="82" t="n">
        <f aca="false">IF(AQ173="2",BH173,0)</f>
        <v>0</v>
      </c>
      <c r="AG173" s="82" t="n">
        <f aca="false">IF(AQ173="2",BI173,0)</f>
        <v>0</v>
      </c>
      <c r="AH173" s="82" t="n">
        <f aca="false">IF(AQ173="0",BJ173,0)</f>
        <v>0</v>
      </c>
      <c r="AI173" s="64" t="s">
        <v>99</v>
      </c>
      <c r="AJ173" s="82" t="n">
        <f aca="false">IF(AN173=0,L173,0)</f>
        <v>0</v>
      </c>
      <c r="AK173" s="82" t="n">
        <f aca="false">IF(AN173=15,L173,0)</f>
        <v>0</v>
      </c>
      <c r="AL173" s="82" t="n">
        <f aca="false">IF(AN173=21,L173,0)</f>
        <v>0</v>
      </c>
      <c r="AM173" s="51"/>
      <c r="AN173" s="82" t="n">
        <v>21</v>
      </c>
      <c r="AO173" s="82" t="n">
        <f aca="false">I173*1</f>
        <v>0</v>
      </c>
      <c r="AP173" s="82" t="n">
        <f aca="false">I173*(1-1)</f>
        <v>0</v>
      </c>
      <c r="AQ173" s="83" t="s">
        <v>515</v>
      </c>
      <c r="AR173" s="51"/>
      <c r="AS173" s="51"/>
      <c r="AT173" s="51"/>
      <c r="AU173" s="51"/>
      <c r="AV173" s="82" t="n">
        <f aca="false">AW173+AX173</f>
        <v>0</v>
      </c>
      <c r="AW173" s="82" t="n">
        <f aca="false">H173*AO173</f>
        <v>0</v>
      </c>
      <c r="AX173" s="82" t="n">
        <f aca="false">H173*AP173</f>
        <v>0</v>
      </c>
      <c r="AY173" s="83" t="s">
        <v>516</v>
      </c>
      <c r="AZ173" s="83" t="s">
        <v>517</v>
      </c>
      <c r="BA173" s="64" t="s">
        <v>107</v>
      </c>
      <c r="BB173" s="51"/>
      <c r="BC173" s="82" t="n">
        <f aca="false">AW173+AX173</f>
        <v>0</v>
      </c>
      <c r="BD173" s="82" t="n">
        <f aca="false">I173/(100-BE173)*100</f>
        <v>0</v>
      </c>
      <c r="BE173" s="82" t="n">
        <v>0</v>
      </c>
      <c r="BF173" s="82" t="n">
        <f aca="false">173</f>
        <v>173</v>
      </c>
      <c r="BG173" s="51"/>
      <c r="BH173" s="82" t="n">
        <f aca="false">H173*AO173</f>
        <v>0</v>
      </c>
      <c r="BI173" s="82" t="n">
        <f aca="false">H173*AP173</f>
        <v>0</v>
      </c>
      <c r="BJ173" s="82" t="n">
        <f aca="false">H173*I173</f>
        <v>0</v>
      </c>
      <c r="BK173" s="82"/>
      <c r="BL173" s="82"/>
    </row>
    <row r="174" customFormat="false" ht="15" hidden="false" customHeight="true" outlineLevel="0" collapsed="false">
      <c r="J174" s="88" t="s">
        <v>555</v>
      </c>
      <c r="K174" s="88"/>
      <c r="L174" s="89" t="n">
        <f aca="false">L13+L16+L18+L20+L22+L114+L126+L130+L133+L135+L139+L142+L144+L146+L159</f>
        <v>0</v>
      </c>
      <c r="N174" s="53"/>
      <c r="O174" s="53"/>
      <c r="P174" s="53"/>
      <c r="Q174" s="53"/>
      <c r="R174" s="53"/>
      <c r="S174" s="53"/>
      <c r="T174" s="53"/>
      <c r="U174" s="53"/>
      <c r="V174" s="53"/>
      <c r="W174" s="53"/>
      <c r="X174" s="53"/>
      <c r="Y174" s="51"/>
      <c r="Z174" s="51"/>
      <c r="AA174" s="51"/>
      <c r="AB174" s="51"/>
      <c r="AC174" s="51"/>
      <c r="AD174" s="51"/>
      <c r="AE174" s="51"/>
      <c r="AF174" s="51"/>
      <c r="AG174" s="51"/>
      <c r="AH174" s="51"/>
      <c r="AI174" s="51"/>
      <c r="AJ174" s="51"/>
      <c r="AK174" s="51"/>
      <c r="AL174" s="51"/>
      <c r="AM174" s="51"/>
      <c r="AN174" s="51"/>
      <c r="AO174" s="51"/>
      <c r="AP174" s="51"/>
      <c r="AQ174" s="51"/>
      <c r="AR174" s="51"/>
      <c r="AS174" s="51"/>
      <c r="AT174" s="51"/>
      <c r="AU174" s="51"/>
      <c r="AV174" s="51"/>
      <c r="AW174" s="51"/>
      <c r="AX174" s="51"/>
      <c r="AY174" s="51"/>
      <c r="AZ174" s="51"/>
      <c r="BA174" s="51"/>
      <c r="BB174" s="51"/>
      <c r="BC174" s="51"/>
      <c r="BD174" s="51"/>
      <c r="BE174" s="51"/>
      <c r="BF174" s="51"/>
      <c r="BG174" s="51"/>
      <c r="BH174" s="51"/>
      <c r="BI174" s="51"/>
      <c r="BJ174" s="51"/>
      <c r="BK174" s="51"/>
      <c r="BL174" s="51"/>
    </row>
    <row r="175" customFormat="false" ht="15" hidden="false" customHeight="true" outlineLevel="0" collapsed="false">
      <c r="A175" s="50" t="s">
        <v>54</v>
      </c>
      <c r="B175" s="51"/>
      <c r="C175" s="51"/>
      <c r="D175" s="51"/>
      <c r="E175" s="51"/>
      <c r="F175" s="51"/>
      <c r="G175" s="51"/>
      <c r="H175" s="51"/>
      <c r="I175" s="51"/>
      <c r="J175" s="51"/>
      <c r="K175" s="51"/>
      <c r="L175" s="51"/>
      <c r="M175" s="51"/>
      <c r="N175" s="53"/>
      <c r="O175" s="53"/>
      <c r="P175" s="53"/>
      <c r="Q175" s="53"/>
      <c r="R175" s="53"/>
      <c r="S175" s="53"/>
      <c r="T175" s="53"/>
      <c r="U175" s="53"/>
      <c r="V175" s="53"/>
      <c r="W175" s="53"/>
      <c r="X175" s="53"/>
      <c r="Y175" s="51"/>
      <c r="Z175" s="51"/>
      <c r="AA175" s="51"/>
      <c r="AB175" s="51"/>
      <c r="AC175" s="51"/>
      <c r="AD175" s="51"/>
      <c r="AE175" s="51"/>
      <c r="AF175" s="51"/>
      <c r="AG175" s="51"/>
      <c r="AH175" s="51"/>
      <c r="AI175" s="51"/>
      <c r="AJ175" s="51"/>
      <c r="AK175" s="51"/>
      <c r="AL175" s="51"/>
      <c r="AM175" s="51"/>
      <c r="AN175" s="51"/>
      <c r="AO175" s="51"/>
      <c r="AP175" s="51"/>
      <c r="AQ175" s="51"/>
      <c r="AR175" s="51"/>
      <c r="AS175" s="51"/>
      <c r="AT175" s="51"/>
      <c r="AU175" s="51"/>
      <c r="AV175" s="51"/>
      <c r="AW175" s="51"/>
      <c r="AX175" s="51"/>
      <c r="AY175" s="51"/>
      <c r="AZ175" s="51"/>
      <c r="BA175" s="51"/>
      <c r="BB175" s="51"/>
      <c r="BC175" s="51"/>
      <c r="BD175" s="51"/>
      <c r="BE175" s="51"/>
      <c r="BF175" s="51"/>
      <c r="BG175" s="51"/>
      <c r="BH175" s="51"/>
      <c r="BI175" s="51"/>
      <c r="BJ175" s="51"/>
      <c r="BK175" s="51"/>
      <c r="BL175" s="51"/>
    </row>
    <row r="176" customFormat="false" ht="12.75" hidden="false" customHeight="true" outlineLevel="0" collapsed="false">
      <c r="A176" s="10"/>
      <c r="B176" s="10"/>
      <c r="C176" s="10"/>
      <c r="D176" s="10"/>
      <c r="E176" s="10"/>
      <c r="F176" s="10"/>
      <c r="G176" s="10"/>
      <c r="H176" s="10"/>
      <c r="I176" s="10"/>
      <c r="J176" s="10"/>
      <c r="K176" s="10"/>
      <c r="L176" s="10"/>
      <c r="M176" s="10"/>
    </row>
  </sheetData>
  <sheetProtection sheet="true" password="d675" objects="true" scenarios="true" selectLockedCells="true"/>
  <mergeCells count="192">
    <mergeCell ref="A1:M1"/>
    <mergeCell ref="A2:B3"/>
    <mergeCell ref="C2:D3"/>
    <mergeCell ref="E2:F3"/>
    <mergeCell ref="G2:H3"/>
    <mergeCell ref="I2:I3"/>
    <mergeCell ref="J2:M3"/>
    <mergeCell ref="A4:B5"/>
    <mergeCell ref="C4:D5"/>
    <mergeCell ref="E4:F5"/>
    <mergeCell ref="G4:H5"/>
    <mergeCell ref="I4:I5"/>
    <mergeCell ref="J4:M5"/>
    <mergeCell ref="A6:B7"/>
    <mergeCell ref="C6:D7"/>
    <mergeCell ref="E6:F7"/>
    <mergeCell ref="G6:H7"/>
    <mergeCell ref="I6:I7"/>
    <mergeCell ref="J6:M7"/>
    <mergeCell ref="A8:B9"/>
    <mergeCell ref="C8:D9"/>
    <mergeCell ref="E8:F9"/>
    <mergeCell ref="G8:H9"/>
    <mergeCell ref="I8:I9"/>
    <mergeCell ref="J8:M9"/>
    <mergeCell ref="C10:F10"/>
    <mergeCell ref="J10:L10"/>
    <mergeCell ref="C11:F11"/>
    <mergeCell ref="C12:F12"/>
    <mergeCell ref="C13:F13"/>
    <mergeCell ref="C14:F14"/>
    <mergeCell ref="C15:F15"/>
    <mergeCell ref="C16:F16"/>
    <mergeCell ref="C17:F17"/>
    <mergeCell ref="C18:F18"/>
    <mergeCell ref="C19:F19"/>
    <mergeCell ref="C20:F20"/>
    <mergeCell ref="C21:F21"/>
    <mergeCell ref="C22:F22"/>
    <mergeCell ref="C23:F23"/>
    <mergeCell ref="C24:F24"/>
    <mergeCell ref="C25:F25"/>
    <mergeCell ref="C26:F26"/>
    <mergeCell ref="C27:F27"/>
    <mergeCell ref="C28:F28"/>
    <mergeCell ref="C29:F29"/>
    <mergeCell ref="C30:F30"/>
    <mergeCell ref="C31:F31"/>
    <mergeCell ref="C32:F32"/>
    <mergeCell ref="C33:F33"/>
    <mergeCell ref="C34:F34"/>
    <mergeCell ref="C35:F35"/>
    <mergeCell ref="C36:F36"/>
    <mergeCell ref="C37:F37"/>
    <mergeCell ref="C38:F38"/>
    <mergeCell ref="C39:F39"/>
    <mergeCell ref="C40:F40"/>
    <mergeCell ref="C41:F41"/>
    <mergeCell ref="C42:F42"/>
    <mergeCell ref="C43:F43"/>
    <mergeCell ref="C44:F44"/>
    <mergeCell ref="C45:F45"/>
    <mergeCell ref="C46:F46"/>
    <mergeCell ref="C47:F47"/>
    <mergeCell ref="C48:F48"/>
    <mergeCell ref="C49:F49"/>
    <mergeCell ref="C50:F50"/>
    <mergeCell ref="C51:F51"/>
    <mergeCell ref="C52:F52"/>
    <mergeCell ref="C53:F53"/>
    <mergeCell ref="C54:F54"/>
    <mergeCell ref="C55:F55"/>
    <mergeCell ref="C56:F56"/>
    <mergeCell ref="C57:F57"/>
    <mergeCell ref="C58:F58"/>
    <mergeCell ref="C59:F59"/>
    <mergeCell ref="C60:F60"/>
    <mergeCell ref="C61:F61"/>
    <mergeCell ref="C62:F62"/>
    <mergeCell ref="C63:F63"/>
    <mergeCell ref="C64:F64"/>
    <mergeCell ref="C65:F65"/>
    <mergeCell ref="C66:F66"/>
    <mergeCell ref="C67:F67"/>
    <mergeCell ref="C68:F68"/>
    <mergeCell ref="C69:F69"/>
    <mergeCell ref="C70:F70"/>
    <mergeCell ref="C71:F71"/>
    <mergeCell ref="C72:F72"/>
    <mergeCell ref="C73:F73"/>
    <mergeCell ref="C74:F74"/>
    <mergeCell ref="C75:F75"/>
    <mergeCell ref="C76:F76"/>
    <mergeCell ref="C77:F77"/>
    <mergeCell ref="C78:F78"/>
    <mergeCell ref="C79:F79"/>
    <mergeCell ref="C80:F80"/>
    <mergeCell ref="C81:F81"/>
    <mergeCell ref="C82:F82"/>
    <mergeCell ref="C83:F83"/>
    <mergeCell ref="C84:F84"/>
    <mergeCell ref="C85:F85"/>
    <mergeCell ref="C86:F86"/>
    <mergeCell ref="C87:F87"/>
    <mergeCell ref="C88:F88"/>
    <mergeCell ref="C89:F89"/>
    <mergeCell ref="C90:F90"/>
    <mergeCell ref="C91:F91"/>
    <mergeCell ref="C92:F92"/>
    <mergeCell ref="C93:F93"/>
    <mergeCell ref="C94:F94"/>
    <mergeCell ref="C95:F95"/>
    <mergeCell ref="C96:F96"/>
    <mergeCell ref="C97:F97"/>
    <mergeCell ref="C98:F98"/>
    <mergeCell ref="C99:F99"/>
    <mergeCell ref="C100:F100"/>
    <mergeCell ref="C101:F101"/>
    <mergeCell ref="C102:F102"/>
    <mergeCell ref="C103:F103"/>
    <mergeCell ref="C104:F104"/>
    <mergeCell ref="C105:F105"/>
    <mergeCell ref="C106:F106"/>
    <mergeCell ref="C107:F107"/>
    <mergeCell ref="C108:F108"/>
    <mergeCell ref="C109:F109"/>
    <mergeCell ref="C110:F110"/>
    <mergeCell ref="C111:F111"/>
    <mergeCell ref="C112:F112"/>
    <mergeCell ref="C113:F113"/>
    <mergeCell ref="C114:F114"/>
    <mergeCell ref="C115:F115"/>
    <mergeCell ref="C116:F116"/>
    <mergeCell ref="C117:F117"/>
    <mergeCell ref="C118:F118"/>
    <mergeCell ref="C119:F119"/>
    <mergeCell ref="C120:F120"/>
    <mergeCell ref="C121:F121"/>
    <mergeCell ref="C122:F122"/>
    <mergeCell ref="C123:F123"/>
    <mergeCell ref="C124:F124"/>
    <mergeCell ref="C125:F125"/>
    <mergeCell ref="C126:F126"/>
    <mergeCell ref="C127:F127"/>
    <mergeCell ref="C128:F128"/>
    <mergeCell ref="C129:F129"/>
    <mergeCell ref="C130:F130"/>
    <mergeCell ref="C131:F131"/>
    <mergeCell ref="C132:F132"/>
    <mergeCell ref="C133:F133"/>
    <mergeCell ref="C134:F134"/>
    <mergeCell ref="C135:F135"/>
    <mergeCell ref="C136:F136"/>
    <mergeCell ref="C137:F137"/>
    <mergeCell ref="C138:F138"/>
    <mergeCell ref="C139:F139"/>
    <mergeCell ref="C140:F140"/>
    <mergeCell ref="C141:F141"/>
    <mergeCell ref="C142:F142"/>
    <mergeCell ref="C143:F143"/>
    <mergeCell ref="C144:F144"/>
    <mergeCell ref="C145:F145"/>
    <mergeCell ref="C146:F146"/>
    <mergeCell ref="C147:F147"/>
    <mergeCell ref="C148:F148"/>
    <mergeCell ref="C149:F149"/>
    <mergeCell ref="C150:F150"/>
    <mergeCell ref="C151:F151"/>
    <mergeCell ref="C152:F152"/>
    <mergeCell ref="C153:F153"/>
    <mergeCell ref="C154:F154"/>
    <mergeCell ref="C155:F155"/>
    <mergeCell ref="C156:F156"/>
    <mergeCell ref="C157:F157"/>
    <mergeCell ref="C158:F158"/>
    <mergeCell ref="C159:F159"/>
    <mergeCell ref="C160:F160"/>
    <mergeCell ref="C161:F161"/>
    <mergeCell ref="C162:F162"/>
    <mergeCell ref="C163:F163"/>
    <mergeCell ref="C164:F164"/>
    <mergeCell ref="C165:F165"/>
    <mergeCell ref="C166:F166"/>
    <mergeCell ref="C167:F167"/>
    <mergeCell ref="C168:F168"/>
    <mergeCell ref="C169:F169"/>
    <mergeCell ref="C170:F170"/>
    <mergeCell ref="C171:F171"/>
    <mergeCell ref="C172:F172"/>
    <mergeCell ref="C173:F173"/>
    <mergeCell ref="J174:K174"/>
    <mergeCell ref="A176:M176"/>
  </mergeCells>
  <printOptions headings="false" gridLines="false" gridLinesSet="true" horizontalCentered="false" verticalCentered="false"/>
  <pageMargins left="0.39375" right="0.39375" top="0.590972222222222" bottom="0.590972222222222" header="0.511811023622047" footer="0.511811023622047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27"/>
  <sheetViews>
    <sheetView showFormulas="false" showGridLines="true" showRowColHeaders="true" showZeros="true" rightToLeft="false" tabSelected="false" showOutlineSymbols="false" defaultGridColor="true" view="normal" topLeftCell="A1" colorId="64" zoomScale="110" zoomScaleNormal="110" zoomScalePageLayoutView="100" workbookViewId="0">
      <pane xSplit="0" ySplit="11" topLeftCell="A12" activePane="bottomLeft" state="frozen"/>
      <selection pane="topLeft" activeCell="A1" activeCellId="0" sqref="A1"/>
      <selection pane="bottomLeft" activeCell="G6" activeCellId="0" sqref="G6"/>
    </sheetView>
  </sheetViews>
  <sheetFormatPr defaultColWidth="14.16015625" defaultRowHeight="15" zeroHeight="false" outlineLevelRow="0" outlineLevelCol="0"/>
  <cols>
    <col collapsed="false" customWidth="true" hidden="false" outlineLevel="0" max="2" min="1" style="1" width="9.99"/>
    <col collapsed="false" customWidth="true" hidden="false" outlineLevel="0" max="3" min="3" style="1" width="76.01"/>
    <col collapsed="false" customWidth="true" hidden="false" outlineLevel="0" max="4" min="4" style="1" width="23.47"/>
    <col collapsed="false" customWidth="true" hidden="false" outlineLevel="0" max="5" min="5" style="1" width="26.92"/>
    <col collapsed="false" customWidth="true" hidden="false" outlineLevel="0" max="7" min="6" style="1" width="32.49"/>
    <col collapsed="false" customWidth="false" hidden="true" outlineLevel="0" max="9" min="8" style="1" width="14.16"/>
  </cols>
  <sheetData>
    <row r="1" customFormat="false" ht="54.75" hidden="false" customHeight="true" outlineLevel="0" collapsed="false">
      <c r="A1" s="52" t="s">
        <v>556</v>
      </c>
      <c r="B1" s="52"/>
      <c r="C1" s="52"/>
      <c r="D1" s="52"/>
      <c r="E1" s="52"/>
      <c r="F1" s="52"/>
      <c r="G1" s="52"/>
      <c r="H1" s="51"/>
      <c r="I1" s="51"/>
    </row>
    <row r="2" customFormat="false" ht="15" hidden="false" customHeight="true" outlineLevel="0" collapsed="false">
      <c r="A2" s="3" t="s">
        <v>1</v>
      </c>
      <c r="B2" s="3"/>
      <c r="C2" s="4" t="str">
        <f aca="false">'Stavební rozpočet'!C2</f>
        <v>OPRAVA ROZVODŮ VODY 6. ZŠ ŠVABINSKÉHO Sokolov II. ETAPA</v>
      </c>
      <c r="D2" s="55" t="s">
        <v>57</v>
      </c>
      <c r="E2" s="55" t="s">
        <v>58</v>
      </c>
      <c r="F2" s="5" t="s">
        <v>2</v>
      </c>
      <c r="G2" s="90" t="str">
        <f aca="false">'Stavební rozpočet'!J2</f>
        <v>Město Sokolov</v>
      </c>
      <c r="H2" s="51"/>
      <c r="I2" s="51"/>
    </row>
    <row r="3" customFormat="false" ht="15" hidden="false" customHeight="true" outlineLevel="0" collapsed="false">
      <c r="A3" s="3"/>
      <c r="B3" s="3"/>
      <c r="C3" s="4"/>
      <c r="D3" s="55"/>
      <c r="E3" s="55"/>
      <c r="F3" s="55"/>
      <c r="G3" s="90"/>
      <c r="H3" s="51"/>
      <c r="I3" s="51"/>
    </row>
    <row r="4" customFormat="false" ht="15" hidden="false" customHeight="true" outlineLevel="0" collapsed="false">
      <c r="A4" s="8" t="s">
        <v>5</v>
      </c>
      <c r="B4" s="8"/>
      <c r="C4" s="10" t="str">
        <f aca="false">'Stavební rozpočet'!C4</f>
        <v>Rekonstrukce ZTI vodovodu na základní škole</v>
      </c>
      <c r="D4" s="14" t="s">
        <v>11</v>
      </c>
      <c r="E4" s="14" t="s">
        <v>61</v>
      </c>
      <c r="F4" s="10" t="s">
        <v>6</v>
      </c>
      <c r="G4" s="91" t="str">
        <f aca="false">'Stavební rozpočet'!J4</f>
        <v>DD Služby s.r.o.</v>
      </c>
      <c r="H4" s="51"/>
      <c r="I4" s="51"/>
    </row>
    <row r="5" customFormat="false" ht="15" hidden="false" customHeight="true" outlineLevel="0" collapsed="false">
      <c r="A5" s="8"/>
      <c r="B5" s="8"/>
      <c r="C5" s="10"/>
      <c r="D5" s="10"/>
      <c r="E5" s="10"/>
      <c r="F5" s="10"/>
      <c r="G5" s="91"/>
      <c r="H5" s="51"/>
      <c r="I5" s="51"/>
    </row>
    <row r="6" customFormat="false" ht="15" hidden="false" customHeight="true" outlineLevel="0" collapsed="false">
      <c r="A6" s="8" t="s">
        <v>8</v>
      </c>
      <c r="B6" s="8"/>
      <c r="C6" s="10" t="str">
        <f aca="false">'Stavební rozpočet'!C6</f>
        <v>Sokolov</v>
      </c>
      <c r="D6" s="14" t="s">
        <v>12</v>
      </c>
      <c r="E6" s="14" t="s">
        <v>64</v>
      </c>
      <c r="F6" s="10" t="s">
        <v>9</v>
      </c>
      <c r="G6" s="58" t="s">
        <v>10</v>
      </c>
      <c r="H6" s="51"/>
      <c r="I6" s="51"/>
    </row>
    <row r="7" customFormat="false" ht="15" hidden="false" customHeight="true" outlineLevel="0" collapsed="false">
      <c r="A7" s="8"/>
      <c r="B7" s="8"/>
      <c r="C7" s="10"/>
      <c r="D7" s="10"/>
      <c r="E7" s="10"/>
      <c r="F7" s="10"/>
      <c r="G7" s="58"/>
      <c r="H7" s="51"/>
      <c r="I7" s="51"/>
    </row>
    <row r="8" customFormat="false" ht="15" hidden="false" customHeight="true" outlineLevel="0" collapsed="false">
      <c r="A8" s="8" t="s">
        <v>15</v>
      </c>
      <c r="B8" s="8"/>
      <c r="C8" s="10" t="str">
        <f aca="false">'Stavební rozpočet'!J8</f>
        <v>David Draský</v>
      </c>
      <c r="D8" s="19" t="s">
        <v>66</v>
      </c>
      <c r="E8" s="14" t="s">
        <v>67</v>
      </c>
      <c r="F8" s="14" t="s">
        <v>66</v>
      </c>
      <c r="G8" s="91" t="str">
        <f aca="false">'Stavební rozpočet'!G8</f>
        <v>15.12.2023</v>
      </c>
      <c r="H8" s="51"/>
      <c r="I8" s="51"/>
    </row>
    <row r="9" customFormat="false" ht="15" hidden="false" customHeight="true" outlineLevel="0" collapsed="false">
      <c r="A9" s="8"/>
      <c r="B9" s="8"/>
      <c r="C9" s="10"/>
      <c r="D9" s="19"/>
      <c r="E9" s="14"/>
      <c r="F9" s="14"/>
      <c r="G9" s="91"/>
      <c r="H9" s="51"/>
      <c r="I9" s="51"/>
    </row>
    <row r="10" customFormat="false" ht="15" hidden="false" customHeight="true" outlineLevel="0" collapsed="false">
      <c r="A10" s="92" t="s">
        <v>557</v>
      </c>
      <c r="B10" s="93" t="s">
        <v>70</v>
      </c>
      <c r="C10" s="60" t="s">
        <v>71</v>
      </c>
      <c r="E10" s="94" t="s">
        <v>558</v>
      </c>
      <c r="F10" s="95" t="s">
        <v>559</v>
      </c>
      <c r="G10" s="95" t="s">
        <v>560</v>
      </c>
      <c r="H10" s="51"/>
      <c r="I10" s="51"/>
    </row>
    <row r="11" customFormat="false" ht="15" hidden="false" customHeight="true" outlineLevel="0" collapsed="false">
      <c r="A11" s="78" t="s">
        <v>99</v>
      </c>
      <c r="B11" s="14"/>
      <c r="C11" s="14" t="s">
        <v>96</v>
      </c>
      <c r="D11" s="14"/>
      <c r="E11" s="79" t="n">
        <f aca="false">'Stavební rozpočet'!J12</f>
        <v>0</v>
      </c>
      <c r="F11" s="79" t="n">
        <f aca="false">'Stavební rozpočet'!K12</f>
        <v>0</v>
      </c>
      <c r="G11" s="79" t="n">
        <f aca="false">'Stavební rozpočet'!L12</f>
        <v>0</v>
      </c>
      <c r="H11" s="83" t="s">
        <v>561</v>
      </c>
      <c r="I11" s="82" t="n">
        <f aca="false">IF(H11="F",0,G11)</f>
        <v>0</v>
      </c>
    </row>
    <row r="12" customFormat="false" ht="15" hidden="false" customHeight="true" outlineLevel="0" collapsed="false">
      <c r="A12" s="78" t="s">
        <v>99</v>
      </c>
      <c r="B12" s="14" t="s">
        <v>97</v>
      </c>
      <c r="C12" s="14" t="s">
        <v>98</v>
      </c>
      <c r="D12" s="14"/>
      <c r="E12" s="79" t="n">
        <f aca="false">'Stavební rozpočet'!J13</f>
        <v>0</v>
      </c>
      <c r="F12" s="79" t="n">
        <f aca="false">'Stavební rozpočet'!K13</f>
        <v>0</v>
      </c>
      <c r="G12" s="79" t="n">
        <f aca="false">'Stavební rozpočet'!L13</f>
        <v>0</v>
      </c>
      <c r="H12" s="83" t="s">
        <v>562</v>
      </c>
      <c r="I12" s="82" t="n">
        <f aca="false">IF(H12="F",0,G12)</f>
        <v>0</v>
      </c>
    </row>
    <row r="13" customFormat="false" ht="15" hidden="false" customHeight="true" outlineLevel="0" collapsed="false">
      <c r="A13" s="78" t="s">
        <v>99</v>
      </c>
      <c r="B13" s="14" t="s">
        <v>112</v>
      </c>
      <c r="C13" s="14" t="s">
        <v>113</v>
      </c>
      <c r="D13" s="14"/>
      <c r="E13" s="79" t="n">
        <f aca="false">'Stavební rozpočet'!J16</f>
        <v>0</v>
      </c>
      <c r="F13" s="79" t="n">
        <f aca="false">'Stavební rozpočet'!K16</f>
        <v>0</v>
      </c>
      <c r="G13" s="79" t="n">
        <f aca="false">'Stavební rozpočet'!L16</f>
        <v>0</v>
      </c>
      <c r="H13" s="83" t="s">
        <v>562</v>
      </c>
      <c r="I13" s="82" t="n">
        <f aca="false">IF(H13="F",0,G13)</f>
        <v>0</v>
      </c>
    </row>
    <row r="14" customFormat="false" ht="15" hidden="false" customHeight="true" outlineLevel="0" collapsed="false">
      <c r="A14" s="78" t="s">
        <v>99</v>
      </c>
      <c r="B14" s="14" t="s">
        <v>119</v>
      </c>
      <c r="C14" s="14" t="s">
        <v>120</v>
      </c>
      <c r="D14" s="14"/>
      <c r="E14" s="79" t="n">
        <f aca="false">'Stavební rozpočet'!J18</f>
        <v>0</v>
      </c>
      <c r="F14" s="79" t="n">
        <f aca="false">'Stavební rozpočet'!K18</f>
        <v>0</v>
      </c>
      <c r="G14" s="79" t="n">
        <f aca="false">'Stavební rozpočet'!L18</f>
        <v>0</v>
      </c>
      <c r="H14" s="83" t="s">
        <v>562</v>
      </c>
      <c r="I14" s="82" t="n">
        <f aca="false">IF(H14="F",0,G14)</f>
        <v>0</v>
      </c>
    </row>
    <row r="15" customFormat="false" ht="15" hidden="false" customHeight="true" outlineLevel="0" collapsed="false">
      <c r="A15" s="78" t="s">
        <v>99</v>
      </c>
      <c r="B15" s="14" t="s">
        <v>127</v>
      </c>
      <c r="C15" s="14" t="s">
        <v>128</v>
      </c>
      <c r="D15" s="14"/>
      <c r="E15" s="79" t="n">
        <f aca="false">'Stavební rozpočet'!J20</f>
        <v>0</v>
      </c>
      <c r="F15" s="79" t="n">
        <f aca="false">'Stavební rozpočet'!K20</f>
        <v>0</v>
      </c>
      <c r="G15" s="79" t="n">
        <f aca="false">'Stavební rozpočet'!L20</f>
        <v>0</v>
      </c>
      <c r="H15" s="83" t="s">
        <v>562</v>
      </c>
      <c r="I15" s="82" t="n">
        <f aca="false">IF(H15="F",0,G15)</f>
        <v>0</v>
      </c>
    </row>
    <row r="16" customFormat="false" ht="15" hidden="false" customHeight="true" outlineLevel="0" collapsed="false">
      <c r="A16" s="78" t="s">
        <v>99</v>
      </c>
      <c r="B16" s="14" t="s">
        <v>135</v>
      </c>
      <c r="C16" s="14" t="s">
        <v>136</v>
      </c>
      <c r="D16" s="14"/>
      <c r="E16" s="79" t="n">
        <f aca="false">'Stavební rozpočet'!J22</f>
        <v>0</v>
      </c>
      <c r="F16" s="79" t="n">
        <f aca="false">'Stavební rozpočet'!K22</f>
        <v>0</v>
      </c>
      <c r="G16" s="79" t="n">
        <f aca="false">'Stavební rozpočet'!L22</f>
        <v>0</v>
      </c>
      <c r="H16" s="83" t="s">
        <v>562</v>
      </c>
      <c r="I16" s="82" t="n">
        <f aca="false">IF(H16="F",0,G16)</f>
        <v>0</v>
      </c>
    </row>
    <row r="17" customFormat="false" ht="15" hidden="false" customHeight="true" outlineLevel="0" collapsed="false">
      <c r="A17" s="78" t="s">
        <v>99</v>
      </c>
      <c r="B17" s="14" t="s">
        <v>376</v>
      </c>
      <c r="C17" s="14" t="s">
        <v>377</v>
      </c>
      <c r="D17" s="14"/>
      <c r="E17" s="79" t="n">
        <f aca="false">'Stavební rozpočet'!J114</f>
        <v>0</v>
      </c>
      <c r="F17" s="79" t="n">
        <f aca="false">'Stavební rozpočet'!K114</f>
        <v>0</v>
      </c>
      <c r="G17" s="79" t="n">
        <f aca="false">'Stavební rozpočet'!L114</f>
        <v>0</v>
      </c>
      <c r="H17" s="83" t="s">
        <v>562</v>
      </c>
      <c r="I17" s="82" t="n">
        <f aca="false">IF(H17="F",0,G17)</f>
        <v>0</v>
      </c>
    </row>
    <row r="18" customFormat="false" ht="15" hidden="false" customHeight="true" outlineLevel="0" collapsed="false">
      <c r="A18" s="78" t="s">
        <v>99</v>
      </c>
      <c r="B18" s="14" t="s">
        <v>412</v>
      </c>
      <c r="C18" s="14" t="s">
        <v>413</v>
      </c>
      <c r="D18" s="14"/>
      <c r="E18" s="79" t="n">
        <f aca="false">'Stavební rozpočet'!J126</f>
        <v>0</v>
      </c>
      <c r="F18" s="79" t="n">
        <f aca="false">'Stavební rozpočet'!K126</f>
        <v>0</v>
      </c>
      <c r="G18" s="79" t="n">
        <f aca="false">'Stavební rozpočet'!L126</f>
        <v>0</v>
      </c>
      <c r="H18" s="83" t="s">
        <v>562</v>
      </c>
      <c r="I18" s="82" t="n">
        <f aca="false">IF(H18="F",0,G18)</f>
        <v>0</v>
      </c>
    </row>
    <row r="19" customFormat="false" ht="15" hidden="false" customHeight="true" outlineLevel="0" collapsed="false">
      <c r="A19" s="78" t="s">
        <v>99</v>
      </c>
      <c r="B19" s="14" t="s">
        <v>425</v>
      </c>
      <c r="C19" s="14" t="s">
        <v>426</v>
      </c>
      <c r="D19" s="14"/>
      <c r="E19" s="79" t="n">
        <f aca="false">'Stavební rozpočet'!J130</f>
        <v>0</v>
      </c>
      <c r="F19" s="79" t="n">
        <f aca="false">'Stavební rozpočet'!K130</f>
        <v>0</v>
      </c>
      <c r="G19" s="79" t="n">
        <f aca="false">'Stavební rozpočet'!L130</f>
        <v>0</v>
      </c>
      <c r="H19" s="83" t="s">
        <v>562</v>
      </c>
      <c r="I19" s="82" t="n">
        <f aca="false">IF(H19="F",0,G19)</f>
        <v>0</v>
      </c>
    </row>
    <row r="20" customFormat="false" ht="15" hidden="false" customHeight="true" outlineLevel="0" collapsed="false">
      <c r="A20" s="78" t="s">
        <v>99</v>
      </c>
      <c r="B20" s="14" t="s">
        <v>354</v>
      </c>
      <c r="C20" s="14" t="s">
        <v>435</v>
      </c>
      <c r="D20" s="14"/>
      <c r="E20" s="79" t="n">
        <f aca="false">'Stavební rozpočet'!J133</f>
        <v>0</v>
      </c>
      <c r="F20" s="79" t="n">
        <f aca="false">'Stavební rozpočet'!K133</f>
        <v>0</v>
      </c>
      <c r="G20" s="79" t="n">
        <f aca="false">'Stavební rozpočet'!L133</f>
        <v>0</v>
      </c>
      <c r="H20" s="83" t="s">
        <v>562</v>
      </c>
      <c r="I20" s="82" t="n">
        <f aca="false">IF(H20="F",0,G20)</f>
        <v>0</v>
      </c>
    </row>
    <row r="21" customFormat="false" ht="15" hidden="false" customHeight="true" outlineLevel="0" collapsed="false">
      <c r="A21" s="78" t="s">
        <v>99</v>
      </c>
      <c r="B21" s="14" t="s">
        <v>373</v>
      </c>
      <c r="C21" s="14" t="s">
        <v>441</v>
      </c>
      <c r="D21" s="14"/>
      <c r="E21" s="79" t="n">
        <f aca="false">'Stavební rozpočet'!J135</f>
        <v>0</v>
      </c>
      <c r="F21" s="79" t="n">
        <f aca="false">'Stavební rozpočet'!K135</f>
        <v>0</v>
      </c>
      <c r="G21" s="79" t="n">
        <f aca="false">'Stavební rozpočet'!L135</f>
        <v>0</v>
      </c>
      <c r="H21" s="83" t="s">
        <v>562</v>
      </c>
      <c r="I21" s="82" t="n">
        <f aca="false">IF(H21="F",0,G21)</f>
        <v>0</v>
      </c>
    </row>
    <row r="22" customFormat="false" ht="15" hidden="false" customHeight="true" outlineLevel="0" collapsed="false">
      <c r="A22" s="78" t="s">
        <v>99</v>
      </c>
      <c r="B22" s="14" t="s">
        <v>378</v>
      </c>
      <c r="C22" s="14" t="s">
        <v>453</v>
      </c>
      <c r="D22" s="14"/>
      <c r="E22" s="79" t="n">
        <f aca="false">'Stavební rozpočet'!J139</f>
        <v>0</v>
      </c>
      <c r="F22" s="79" t="n">
        <f aca="false">'Stavební rozpočet'!K139</f>
        <v>0</v>
      </c>
      <c r="G22" s="79" t="n">
        <f aca="false">'Stavební rozpočet'!L139</f>
        <v>0</v>
      </c>
      <c r="H22" s="83" t="s">
        <v>562</v>
      </c>
      <c r="I22" s="82" t="n">
        <f aca="false">IF(H22="F",0,G22)</f>
        <v>0</v>
      </c>
    </row>
    <row r="23" customFormat="false" ht="15" hidden="false" customHeight="true" outlineLevel="0" collapsed="false">
      <c r="A23" s="78" t="s">
        <v>99</v>
      </c>
      <c r="B23" s="14" t="s">
        <v>461</v>
      </c>
      <c r="C23" s="14" t="s">
        <v>136</v>
      </c>
      <c r="D23" s="14"/>
      <c r="E23" s="79" t="n">
        <f aca="false">'Stavební rozpočet'!J142</f>
        <v>0</v>
      </c>
      <c r="F23" s="79" t="n">
        <f aca="false">'Stavební rozpočet'!K142</f>
        <v>0</v>
      </c>
      <c r="G23" s="79" t="n">
        <f aca="false">'Stavební rozpočet'!L142</f>
        <v>0</v>
      </c>
      <c r="H23" s="83" t="s">
        <v>562</v>
      </c>
      <c r="I23" s="82" t="n">
        <f aca="false">IF(H23="F",0,G23)</f>
        <v>0</v>
      </c>
    </row>
    <row r="24" customFormat="false" ht="15" hidden="false" customHeight="true" outlineLevel="0" collapsed="false">
      <c r="A24" s="78" t="s">
        <v>99</v>
      </c>
      <c r="B24" s="14" t="s">
        <v>467</v>
      </c>
      <c r="C24" s="14" t="s">
        <v>468</v>
      </c>
      <c r="D24" s="14"/>
      <c r="E24" s="79" t="n">
        <f aca="false">'Stavební rozpočet'!J144</f>
        <v>0</v>
      </c>
      <c r="F24" s="79" t="n">
        <f aca="false">'Stavební rozpočet'!K144</f>
        <v>0</v>
      </c>
      <c r="G24" s="79" t="n">
        <f aca="false">'Stavební rozpočet'!L144</f>
        <v>0</v>
      </c>
      <c r="H24" s="83" t="s">
        <v>562</v>
      </c>
      <c r="I24" s="82" t="n">
        <f aca="false">IF(H24="F",0,G24)</f>
        <v>0</v>
      </c>
    </row>
    <row r="25" customFormat="false" ht="15" hidden="false" customHeight="true" outlineLevel="0" collapsed="false">
      <c r="A25" s="78" t="s">
        <v>99</v>
      </c>
      <c r="B25" s="14" t="s">
        <v>473</v>
      </c>
      <c r="C25" s="14" t="s">
        <v>474</v>
      </c>
      <c r="D25" s="14"/>
      <c r="E25" s="79" t="n">
        <f aca="false">'Stavební rozpočet'!J146</f>
        <v>0</v>
      </c>
      <c r="F25" s="79" t="n">
        <f aca="false">'Stavební rozpočet'!K146</f>
        <v>0</v>
      </c>
      <c r="G25" s="79" t="n">
        <f aca="false">'Stavební rozpočet'!L146</f>
        <v>0</v>
      </c>
      <c r="H25" s="83" t="s">
        <v>562</v>
      </c>
      <c r="I25" s="82" t="n">
        <f aca="false">IF(H25="F",0,G25)</f>
        <v>0</v>
      </c>
    </row>
    <row r="26" customFormat="false" ht="15" hidden="false" customHeight="true" outlineLevel="0" collapsed="false">
      <c r="A26" s="78" t="s">
        <v>99</v>
      </c>
      <c r="B26" s="14"/>
      <c r="C26" s="14" t="s">
        <v>34</v>
      </c>
      <c r="D26" s="14"/>
      <c r="E26" s="79" t="n">
        <f aca="false">'Stavební rozpočet'!J159</f>
        <v>0</v>
      </c>
      <c r="F26" s="79" t="n">
        <f aca="false">'Stavební rozpočet'!K159</f>
        <v>0</v>
      </c>
      <c r="G26" s="79" t="n">
        <f aca="false">'Stavební rozpočet'!L159</f>
        <v>0</v>
      </c>
      <c r="H26" s="83" t="s">
        <v>562</v>
      </c>
      <c r="I26" s="82" t="n">
        <f aca="false">IF(H26="F",0,G26)</f>
        <v>0</v>
      </c>
    </row>
    <row r="27" customFormat="false" ht="15" hidden="false" customHeight="true" outlineLevel="0" collapsed="false">
      <c r="F27" s="88" t="s">
        <v>555</v>
      </c>
      <c r="G27" s="89" t="n">
        <f aca="false">SUM(I11:I26)</f>
        <v>0</v>
      </c>
      <c r="H27" s="51"/>
      <c r="I27" s="51"/>
    </row>
  </sheetData>
  <sheetProtection sheet="true" password="d675" objects="true" scenarios="true" selectLockedCells="true"/>
  <mergeCells count="41">
    <mergeCell ref="A1:G1"/>
    <mergeCell ref="A2:B3"/>
    <mergeCell ref="C2:C3"/>
    <mergeCell ref="D2:D3"/>
    <mergeCell ref="E2:E3"/>
    <mergeCell ref="F2:F3"/>
    <mergeCell ref="G2:G3"/>
    <mergeCell ref="A4:B5"/>
    <mergeCell ref="C4:C5"/>
    <mergeCell ref="D4:D5"/>
    <mergeCell ref="E4:E5"/>
    <mergeCell ref="F4:F5"/>
    <mergeCell ref="G4:G5"/>
    <mergeCell ref="A6:B7"/>
    <mergeCell ref="C6:C7"/>
    <mergeCell ref="D6:D7"/>
    <mergeCell ref="E6:E7"/>
    <mergeCell ref="F6:F7"/>
    <mergeCell ref="G6:G7"/>
    <mergeCell ref="A8:B9"/>
    <mergeCell ref="C8:C9"/>
    <mergeCell ref="D8:D9"/>
    <mergeCell ref="E8:E9"/>
    <mergeCell ref="F8:F9"/>
    <mergeCell ref="G8:G9"/>
    <mergeCell ref="C11:D11"/>
    <mergeCell ref="C12:D12"/>
    <mergeCell ref="C13:D13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C23:D23"/>
    <mergeCell ref="C24:D24"/>
    <mergeCell ref="C25:D25"/>
    <mergeCell ref="C26:D26"/>
  </mergeCells>
  <printOptions headings="false" gridLines="false" gridLinesSet="true" horizontalCentered="false" verticalCentered="false"/>
  <pageMargins left="0.39375" right="0.39375" top="0.590972222222222" bottom="0.590972222222222" header="0.511811023622047" footer="0.511811023622047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36"/>
  <sheetViews>
    <sheetView showFormulas="false" showGridLines="true" showRowColHeaders="true" showZeros="true" rightToLeft="false" tabSelected="false" showOutlineSymbols="false" defaultGridColor="true" view="normal" topLeftCell="A4" colorId="64" zoomScale="110" zoomScaleNormal="110" zoomScalePageLayoutView="100" workbookViewId="0">
      <selection pane="topLeft" activeCell="F23" activeCellId="0" sqref="F23"/>
    </sheetView>
  </sheetViews>
  <sheetFormatPr defaultColWidth="14.16015625" defaultRowHeight="15" zeroHeight="false" outlineLevelRow="0" outlineLevelCol="0"/>
  <cols>
    <col collapsed="false" customWidth="true" hidden="false" outlineLevel="0" max="1" min="1" style="1" width="10.65"/>
    <col collapsed="false" customWidth="true" hidden="false" outlineLevel="0" max="2" min="2" style="1" width="14.99"/>
    <col collapsed="false" customWidth="true" hidden="false" outlineLevel="0" max="3" min="3" style="1" width="26.65"/>
    <col collapsed="false" customWidth="true" hidden="false" outlineLevel="0" max="4" min="4" style="1" width="11.65"/>
    <col collapsed="false" customWidth="true" hidden="false" outlineLevel="0" max="5" min="5" style="1" width="16.33"/>
    <col collapsed="false" customWidth="true" hidden="false" outlineLevel="0" max="6" min="6" style="1" width="26.65"/>
    <col collapsed="false" customWidth="true" hidden="false" outlineLevel="0" max="7" min="7" style="1" width="10.65"/>
    <col collapsed="false" customWidth="true" hidden="false" outlineLevel="0" max="8" min="8" style="1" width="19.99"/>
    <col collapsed="false" customWidth="true" hidden="false" outlineLevel="0" max="9" min="9" style="1" width="26.65"/>
  </cols>
  <sheetData>
    <row r="1" customFormat="false" ht="54.75" hidden="false" customHeight="true" outlineLevel="0" collapsed="false">
      <c r="A1" s="2" t="s">
        <v>563</v>
      </c>
      <c r="B1" s="2"/>
      <c r="C1" s="2"/>
      <c r="D1" s="2"/>
      <c r="E1" s="2"/>
      <c r="F1" s="2"/>
      <c r="G1" s="2"/>
      <c r="H1" s="2"/>
      <c r="I1" s="2"/>
    </row>
    <row r="2" customFormat="false" ht="15" hidden="false" customHeight="true" outlineLevel="0" collapsed="false">
      <c r="A2" s="3" t="s">
        <v>1</v>
      </c>
      <c r="B2" s="3"/>
      <c r="C2" s="4" t="str">
        <f aca="false">'Stavební rozpočet'!C2</f>
        <v>OPRAVA ROZVODŮ VODY 6. ZŠ ŠVABINSKÉHO Sokolov II. ETAPA</v>
      </c>
      <c r="D2" s="4"/>
      <c r="E2" s="5" t="s">
        <v>2</v>
      </c>
      <c r="F2" s="6" t="str">
        <f aca="false">'Stavební rozpočet'!J2</f>
        <v>Město Sokolov</v>
      </c>
      <c r="G2" s="6"/>
      <c r="H2" s="5" t="s">
        <v>3</v>
      </c>
      <c r="I2" s="7" t="s">
        <v>4</v>
      </c>
    </row>
    <row r="3" customFormat="false" ht="15" hidden="false" customHeight="true" outlineLevel="0" collapsed="false">
      <c r="A3" s="3"/>
      <c r="B3" s="3"/>
      <c r="C3" s="4"/>
      <c r="D3" s="4"/>
      <c r="E3" s="5"/>
      <c r="F3" s="5"/>
      <c r="G3" s="6"/>
      <c r="H3" s="5"/>
      <c r="I3" s="7"/>
    </row>
    <row r="4" customFormat="false" ht="15" hidden="false" customHeight="true" outlineLevel="0" collapsed="false">
      <c r="A4" s="8" t="s">
        <v>5</v>
      </c>
      <c r="B4" s="8"/>
      <c r="C4" s="9" t="str">
        <f aca="false">'Stavební rozpočet'!C4</f>
        <v>Rekonstrukce ZTI vodovodu na základní škole</v>
      </c>
      <c r="D4" s="9"/>
      <c r="E4" s="10" t="s">
        <v>6</v>
      </c>
      <c r="F4" s="9" t="str">
        <f aca="false">'Stavební rozpočet'!J4</f>
        <v>DD Služby s.r.o.</v>
      </c>
      <c r="G4" s="9"/>
      <c r="H4" s="10" t="s">
        <v>3</v>
      </c>
      <c r="I4" s="11" t="s">
        <v>7</v>
      </c>
    </row>
    <row r="5" customFormat="false" ht="15" hidden="false" customHeight="true" outlineLevel="0" collapsed="false">
      <c r="A5" s="8"/>
      <c r="B5" s="8"/>
      <c r="C5" s="9"/>
      <c r="D5" s="9"/>
      <c r="E5" s="10"/>
      <c r="F5" s="10"/>
      <c r="G5" s="9"/>
      <c r="H5" s="10"/>
      <c r="I5" s="11"/>
    </row>
    <row r="6" customFormat="false" ht="15" hidden="false" customHeight="true" outlineLevel="0" collapsed="false">
      <c r="A6" s="8" t="s">
        <v>8</v>
      </c>
      <c r="B6" s="8"/>
      <c r="C6" s="9" t="str">
        <f aca="false">'Stavební rozpočet'!C6</f>
        <v>Sokolov</v>
      </c>
      <c r="D6" s="9"/>
      <c r="E6" s="10" t="s">
        <v>9</v>
      </c>
      <c r="F6" s="12" t="s">
        <v>10</v>
      </c>
      <c r="G6" s="12"/>
      <c r="H6" s="10" t="s">
        <v>3</v>
      </c>
      <c r="I6" s="13" t="s">
        <v>10</v>
      </c>
    </row>
    <row r="7" customFormat="false" ht="15" hidden="false" customHeight="true" outlineLevel="0" collapsed="false">
      <c r="A7" s="8"/>
      <c r="B7" s="8"/>
      <c r="C7" s="9"/>
      <c r="D7" s="9"/>
      <c r="E7" s="10"/>
      <c r="F7" s="10"/>
      <c r="G7" s="12"/>
      <c r="H7" s="10"/>
      <c r="I7" s="13"/>
    </row>
    <row r="8" customFormat="false" ht="15" hidden="false" customHeight="true" outlineLevel="0" collapsed="false">
      <c r="A8" s="8" t="s">
        <v>11</v>
      </c>
      <c r="B8" s="8"/>
      <c r="C8" s="9" t="str">
        <f aca="false">'Stavební rozpočet'!G4</f>
        <v>29.06.2024</v>
      </c>
      <c r="D8" s="9"/>
      <c r="E8" s="10" t="s">
        <v>12</v>
      </c>
      <c r="F8" s="9" t="str">
        <f aca="false">'Stavební rozpočet'!G6</f>
        <v>01.09.2024</v>
      </c>
      <c r="G8" s="9"/>
      <c r="H8" s="14" t="s">
        <v>13</v>
      </c>
      <c r="I8" s="15" t="n">
        <v>146</v>
      </c>
    </row>
    <row r="9" customFormat="false" ht="15" hidden="false" customHeight="true" outlineLevel="0" collapsed="false">
      <c r="A9" s="8"/>
      <c r="B9" s="8"/>
      <c r="C9" s="9"/>
      <c r="D9" s="9"/>
      <c r="E9" s="10"/>
      <c r="F9" s="10"/>
      <c r="G9" s="9"/>
      <c r="H9" s="14"/>
      <c r="I9" s="15"/>
    </row>
    <row r="10" customFormat="false" ht="15" hidden="false" customHeight="true" outlineLevel="0" collapsed="false">
      <c r="A10" s="16" t="s">
        <v>14</v>
      </c>
      <c r="B10" s="16"/>
      <c r="C10" s="17" t="str">
        <f aca="false">'Stavební rozpočet'!C8</f>
        <v> </v>
      </c>
      <c r="D10" s="17"/>
      <c r="E10" s="18" t="s">
        <v>15</v>
      </c>
      <c r="F10" s="17" t="str">
        <f aca="false">'Stavební rozpočet'!J8</f>
        <v>David Draský</v>
      </c>
      <c r="G10" s="17"/>
      <c r="H10" s="19" t="s">
        <v>16</v>
      </c>
      <c r="I10" s="20" t="str">
        <f aca="false">'Stavební rozpočet'!G8</f>
        <v>15.12.2023</v>
      </c>
    </row>
    <row r="11" customFormat="false" ht="15" hidden="false" customHeight="true" outlineLevel="0" collapsed="false">
      <c r="A11" s="16"/>
      <c r="B11" s="16"/>
      <c r="C11" s="17"/>
      <c r="D11" s="17"/>
      <c r="E11" s="18"/>
      <c r="F11" s="18"/>
      <c r="G11" s="17"/>
      <c r="H11" s="19"/>
      <c r="I11" s="20"/>
    </row>
    <row r="13" customFormat="false" ht="15.75" hidden="false" customHeight="true" outlineLevel="0" collapsed="false">
      <c r="A13" s="96" t="s">
        <v>564</v>
      </c>
      <c r="B13" s="96"/>
      <c r="C13" s="96"/>
      <c r="D13" s="96"/>
      <c r="E13" s="96"/>
    </row>
    <row r="14" customFormat="false" ht="15" hidden="false" customHeight="true" outlineLevel="0" collapsed="false">
      <c r="A14" s="88"/>
      <c r="B14" s="88"/>
      <c r="C14" s="88"/>
      <c r="D14" s="88"/>
      <c r="E14" s="88"/>
      <c r="F14" s="97"/>
      <c r="G14" s="97"/>
      <c r="H14" s="97"/>
      <c r="I14" s="97"/>
    </row>
    <row r="15" customFormat="false" ht="15" hidden="false" customHeight="true" outlineLevel="0" collapsed="false">
      <c r="A15" s="14"/>
      <c r="B15" s="14"/>
      <c r="C15" s="14"/>
      <c r="D15" s="14"/>
      <c r="E15" s="14"/>
      <c r="F15" s="79"/>
      <c r="G15" s="14"/>
      <c r="H15" s="14"/>
      <c r="I15" s="79"/>
    </row>
    <row r="16" customFormat="false" ht="15" hidden="false" customHeight="true" outlineLevel="0" collapsed="false">
      <c r="A16" s="14"/>
      <c r="B16" s="14"/>
      <c r="C16" s="14"/>
      <c r="D16" s="14"/>
      <c r="E16" s="14"/>
      <c r="F16" s="79"/>
      <c r="G16" s="14"/>
      <c r="H16" s="14"/>
      <c r="I16" s="79"/>
    </row>
    <row r="17" customFormat="false" ht="15" hidden="false" customHeight="true" outlineLevel="0" collapsed="false">
      <c r="A17" s="14"/>
      <c r="B17" s="14"/>
      <c r="C17" s="14"/>
      <c r="D17" s="14"/>
      <c r="E17" s="14"/>
      <c r="F17" s="79"/>
      <c r="G17" s="14"/>
      <c r="H17" s="14"/>
      <c r="I17" s="79"/>
    </row>
    <row r="18" customFormat="false" ht="15" hidden="false" customHeight="true" outlineLevel="0" collapsed="false">
      <c r="A18" s="88"/>
      <c r="B18" s="88"/>
      <c r="C18" s="88"/>
      <c r="D18" s="88"/>
      <c r="E18" s="88"/>
      <c r="F18" s="88"/>
      <c r="G18" s="97"/>
      <c r="H18" s="97"/>
      <c r="I18" s="89"/>
    </row>
    <row r="20" customFormat="false" ht="15" hidden="false" customHeight="true" outlineLevel="0" collapsed="false">
      <c r="A20" s="98" t="s">
        <v>23</v>
      </c>
      <c r="B20" s="98"/>
      <c r="C20" s="98"/>
      <c r="D20" s="98"/>
      <c r="E20" s="98"/>
      <c r="F20" s="99" t="s">
        <v>565</v>
      </c>
      <c r="G20" s="99" t="s">
        <v>566</v>
      </c>
      <c r="H20" s="99" t="s">
        <v>567</v>
      </c>
      <c r="I20" s="99" t="s">
        <v>565</v>
      </c>
    </row>
    <row r="21" customFormat="false" ht="15" hidden="false" customHeight="true" outlineLevel="0" collapsed="false">
      <c r="A21" s="100" t="s">
        <v>26</v>
      </c>
      <c r="B21" s="100"/>
      <c r="C21" s="100"/>
      <c r="D21" s="100"/>
      <c r="E21" s="100"/>
      <c r="F21" s="101" t="n">
        <v>0</v>
      </c>
      <c r="G21" s="102"/>
      <c r="H21" s="102"/>
      <c r="I21" s="103" t="n">
        <f aca="false">F21</f>
        <v>0</v>
      </c>
    </row>
    <row r="22" customFormat="false" ht="15" hidden="false" customHeight="true" outlineLevel="0" collapsed="false">
      <c r="A22" s="100" t="s">
        <v>28</v>
      </c>
      <c r="B22" s="100"/>
      <c r="C22" s="100"/>
      <c r="D22" s="100"/>
      <c r="E22" s="100"/>
      <c r="F22" s="101" t="n">
        <v>0</v>
      </c>
      <c r="G22" s="102"/>
      <c r="H22" s="102"/>
      <c r="I22" s="103" t="n">
        <f aca="false">F22</f>
        <v>0</v>
      </c>
    </row>
    <row r="23" customFormat="false" ht="15" hidden="false" customHeight="true" outlineLevel="0" collapsed="false">
      <c r="A23" s="100" t="s">
        <v>30</v>
      </c>
      <c r="B23" s="100"/>
      <c r="C23" s="100"/>
      <c r="D23" s="100"/>
      <c r="E23" s="100"/>
      <c r="F23" s="101" t="n">
        <v>0</v>
      </c>
      <c r="G23" s="102"/>
      <c r="H23" s="102"/>
      <c r="I23" s="103" t="n">
        <f aca="false">F23</f>
        <v>0</v>
      </c>
    </row>
    <row r="24" customFormat="false" ht="15" hidden="false" customHeight="true" outlineLevel="0" collapsed="false">
      <c r="A24" s="100" t="s">
        <v>31</v>
      </c>
      <c r="B24" s="100"/>
      <c r="C24" s="100"/>
      <c r="D24" s="100"/>
      <c r="E24" s="100"/>
      <c r="F24" s="101" t="n">
        <v>0</v>
      </c>
      <c r="G24" s="102"/>
      <c r="H24" s="102"/>
      <c r="I24" s="103" t="n">
        <f aca="false">F24</f>
        <v>0</v>
      </c>
    </row>
    <row r="25" customFormat="false" ht="15" hidden="false" customHeight="true" outlineLevel="0" collapsed="false">
      <c r="A25" s="100" t="s">
        <v>33</v>
      </c>
      <c r="B25" s="100"/>
      <c r="C25" s="100"/>
      <c r="D25" s="100"/>
      <c r="E25" s="100"/>
      <c r="F25" s="101" t="n">
        <v>0</v>
      </c>
      <c r="G25" s="102"/>
      <c r="H25" s="102"/>
      <c r="I25" s="103" t="n">
        <f aca="false">F25</f>
        <v>0</v>
      </c>
    </row>
    <row r="26" customFormat="false" ht="15" hidden="false" customHeight="true" outlineLevel="0" collapsed="false">
      <c r="A26" s="104"/>
      <c r="B26" s="104"/>
      <c r="C26" s="104"/>
      <c r="D26" s="104"/>
      <c r="E26" s="104"/>
      <c r="F26" s="105"/>
      <c r="G26" s="11"/>
      <c r="H26" s="11"/>
      <c r="I26" s="105"/>
    </row>
    <row r="27" customFormat="false" ht="15" hidden="false" customHeight="true" outlineLevel="0" collapsed="false">
      <c r="A27" s="106" t="s">
        <v>568</v>
      </c>
      <c r="B27" s="106"/>
      <c r="C27" s="106"/>
      <c r="D27" s="106"/>
      <c r="E27" s="106"/>
      <c r="F27" s="107"/>
      <c r="G27" s="108"/>
      <c r="H27" s="108"/>
      <c r="I27" s="109" t="n">
        <f aca="false">SUM(I21:I26)</f>
        <v>0</v>
      </c>
    </row>
    <row r="29" customFormat="false" ht="15.75" hidden="false" customHeight="true" outlineLevel="0" collapsed="false">
      <c r="A29" s="110" t="s">
        <v>569</v>
      </c>
      <c r="B29" s="110"/>
      <c r="C29" s="110"/>
      <c r="D29" s="110"/>
      <c r="E29" s="110"/>
      <c r="F29" s="111" t="n">
        <f aca="false">I18+I27</f>
        <v>0</v>
      </c>
      <c r="G29" s="111"/>
      <c r="H29" s="111"/>
      <c r="I29" s="111"/>
    </row>
    <row r="33" customFormat="false" ht="15.75" hidden="false" customHeight="true" outlineLevel="0" collapsed="false">
      <c r="A33" s="96" t="s">
        <v>570</v>
      </c>
      <c r="B33" s="96"/>
      <c r="C33" s="96"/>
      <c r="D33" s="96"/>
      <c r="E33" s="96"/>
    </row>
    <row r="34" customFormat="false" ht="15" hidden="false" customHeight="true" outlineLevel="0" collapsed="false">
      <c r="A34" s="98" t="s">
        <v>571</v>
      </c>
      <c r="B34" s="98"/>
      <c r="C34" s="98"/>
      <c r="D34" s="98"/>
      <c r="E34" s="98"/>
      <c r="F34" s="99" t="s">
        <v>565</v>
      </c>
      <c r="G34" s="99" t="s">
        <v>566</v>
      </c>
      <c r="H34" s="99" t="s">
        <v>567</v>
      </c>
      <c r="I34" s="99" t="s">
        <v>565</v>
      </c>
    </row>
    <row r="35" customFormat="false" ht="15" hidden="false" customHeight="true" outlineLevel="0" collapsed="false">
      <c r="A35" s="104" t="s">
        <v>572</v>
      </c>
      <c r="B35" s="104"/>
      <c r="C35" s="104"/>
      <c r="D35" s="104"/>
      <c r="E35" s="104"/>
      <c r="F35" s="112" t="n">
        <v>0</v>
      </c>
      <c r="G35" s="11"/>
      <c r="H35" s="11"/>
      <c r="I35" s="105" t="n">
        <f aca="false">F35</f>
        <v>0</v>
      </c>
    </row>
    <row r="36" customFormat="false" ht="15" hidden="false" customHeight="true" outlineLevel="0" collapsed="false">
      <c r="A36" s="106" t="s">
        <v>573</v>
      </c>
      <c r="B36" s="106"/>
      <c r="C36" s="106"/>
      <c r="D36" s="106"/>
      <c r="E36" s="106"/>
      <c r="F36" s="107"/>
      <c r="G36" s="108"/>
      <c r="H36" s="108"/>
      <c r="I36" s="109" t="n">
        <f aca="false">SUM(I35:I35)</f>
        <v>0</v>
      </c>
    </row>
  </sheetData>
  <sheetProtection sheet="true" password="d675" objects="true" scenarios="true" selectLockedCells="true"/>
  <mergeCells count="46">
    <mergeCell ref="A1:I1"/>
    <mergeCell ref="A2:B3"/>
    <mergeCell ref="C2:D3"/>
    <mergeCell ref="E2:E3"/>
    <mergeCell ref="F2:G3"/>
    <mergeCell ref="H2:H3"/>
    <mergeCell ref="I2:I3"/>
    <mergeCell ref="A4:B5"/>
    <mergeCell ref="C4:D5"/>
    <mergeCell ref="E4:E5"/>
    <mergeCell ref="F4:G5"/>
    <mergeCell ref="H4:H5"/>
    <mergeCell ref="I4:I5"/>
    <mergeCell ref="A6:B7"/>
    <mergeCell ref="C6:D7"/>
    <mergeCell ref="E6:E7"/>
    <mergeCell ref="F6:G7"/>
    <mergeCell ref="H6:H7"/>
    <mergeCell ref="I6:I7"/>
    <mergeCell ref="A8:B9"/>
    <mergeCell ref="C8:D9"/>
    <mergeCell ref="E8:E9"/>
    <mergeCell ref="F8:G9"/>
    <mergeCell ref="H8:H9"/>
    <mergeCell ref="I8:I9"/>
    <mergeCell ref="A10:B11"/>
    <mergeCell ref="C10:D11"/>
    <mergeCell ref="E10:E11"/>
    <mergeCell ref="F10:G11"/>
    <mergeCell ref="H10:H11"/>
    <mergeCell ref="I10:I11"/>
    <mergeCell ref="A13:E13"/>
    <mergeCell ref="A20:E20"/>
    <mergeCell ref="A21:E21"/>
    <mergeCell ref="A22:E22"/>
    <mergeCell ref="A23:E23"/>
    <mergeCell ref="A24:E24"/>
    <mergeCell ref="A25:E25"/>
    <mergeCell ref="A26:E26"/>
    <mergeCell ref="A27:E27"/>
    <mergeCell ref="A29:E29"/>
    <mergeCell ref="F29:I29"/>
    <mergeCell ref="A33:E33"/>
    <mergeCell ref="A34:E34"/>
    <mergeCell ref="A35:E35"/>
    <mergeCell ref="A36:E36"/>
  </mergeCells>
  <printOptions headings="false" gridLines="false" gridLinesSet="true" horizontalCentered="false" verticalCentered="false"/>
  <pageMargins left="0.39375" right="0.39375" top="0.590972222222222" bottom="0.590972222222222" header="0.511811023622047" footer="0.511811023622047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</TotalTime>
  <Application>LibreOffice/7.5.0.3$Windows_X86_64 LibreOffice_project/c21113d003cd3efa8c53188764377a8272d9d6de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2021-06-10T21:06:38Z</dcterms:created>
  <dc:creator>HP</dc:creator>
  <dc:description/>
  <dc:language>cs-CZ</dc:language>
  <cp:lastModifiedBy/>
  <dcterms:modified xsi:type="dcterms:W3CDTF">2024-03-19T17:03:37Z</dcterms:modified>
  <cp:revision>1</cp:revision>
  <dc:subject/>
  <dc:title/>
</cp:coreProperties>
</file>