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í list rozpočtu" sheetId="1" r:id="rId1"/>
    <sheet name="Stavební rozpočet" sheetId="2" r:id="rId2"/>
    <sheet name="Stavební rozpočet - součet" sheetId="3" r:id="rId3"/>
    <sheet name="VORN" sheetId="4" r:id="rId4"/>
  </sheets>
  <definedNames>
    <definedName name="vorn_sum">'VORN'!$I$37</definedName>
  </definedNames>
  <calcPr fullCalcOnLoad="1"/>
</workbook>
</file>

<file path=xl/sharedStrings.xml><?xml version="1.0" encoding="utf-8"?>
<sst xmlns="http://schemas.openxmlformats.org/spreadsheetml/2006/main" count="1320" uniqueCount="449">
  <si>
    <t>Krycí list slepého rozpočtu</t>
  </si>
  <si>
    <t>Název stavby:</t>
  </si>
  <si>
    <t>Objednatel:</t>
  </si>
  <si>
    <t>IČO/DIČ:</t>
  </si>
  <si>
    <t>00259586/CZ00259586</t>
  </si>
  <si>
    <t>Druh stavby:</t>
  </si>
  <si>
    <t>Projektant:</t>
  </si>
  <si>
    <t>29090849/CZ29090849</t>
  </si>
  <si>
    <t>Lokalita:</t>
  </si>
  <si>
    <t>Zhotovitel:</t>
  </si>
  <si>
    <t>PRVNÍ INSTALATÉRSKÁ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</si>
  <si>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</si>
  <si>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</si>
  <si>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</si>
  <si>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</si>
  <si>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</si>
  <si>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</si>
  <si>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</si>
  <si>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</si>
  <si>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</si>
  <si>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</si>
  <si>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</si>
  <si>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</si>
  <si>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</si>
  <si>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</si>
  <si>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</si>
  <si>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Zařízení staveniště</t>
  </si>
  <si>
    <t>Montáž</t>
  </si>
  <si>
    <t>Mimostav. doprava</t>
  </si>
  <si>
    <t>PSV</t>
  </si>
  <si>
    <t>Územní vlivy</t>
  </si>
  <si>
    <t>Provozní vlivy</t>
  </si>
  <si>
    <t>"M"</t>
  </si>
  <si>
    <t>Ostatní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</si>
  <si>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</si>
  <si>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</si>
  <si>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</si>
  <si>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</si>
  <si>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</si>
  <si>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</si>
  <si>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</si>
  <si>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</si>
  <si>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</si>
  <si>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</si>
  <si>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</si>
  <si>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</si>
  <si>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</si>
  <si>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</si>
  <si>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</si>
  <si>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</si>
  <si>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</si>
  <si>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</si>
  <si>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</si>
  <si>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</si>
  <si>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</si>
  <si>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Slepý stavební rozpočet</t>
  </si>
  <si>
    <t>OPRAVA ROZVODŮ VODY 6. ZŠ ŠVABINSKÉHO Sokolov - I. ETAPA</t>
  </si>
  <si>
    <t>Doba výstavby:</t>
  </si>
  <si>
    <t>65 dní</t>
  </si>
  <si>
    <t>Město Sokolov</t>
  </si>
  <si>
    <t>Rekonstrukce ZTI vodovodu na základní škole</t>
  </si>
  <si>
    <t>29.06.2024</t>
  </si>
  <si>
    <t>DD Služby s.r.o.</t>
  </si>
  <si>
    <t>Sokolov</t>
  </si>
  <si>
    <t>01.09.2024</t>
  </si>
  <si>
    <t xml:space="preserve"> </t>
  </si>
  <si>
    <t>Zpracováno dne:</t>
  </si>
  <si>
    <t>15.12.2023</t>
  </si>
  <si>
    <t>David Draský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</si>
  <si>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</si>
  <si>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</si>
  <si>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</si>
  <si>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</si>
  <si>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</si>
  <si>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</si>
  <si>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</si>
  <si>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</si>
  <si>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</si>
  <si>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</si>
  <si>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</si>
  <si>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</si>
  <si>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</si>
  <si>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</si>
  <si>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</si>
  <si>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</si>
  <si>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</si>
  <si>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</si>
  <si>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</si>
  <si>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</si>
  <si>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</si>
  <si>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</si>
  <si>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</si>
  <si>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</si>
  <si>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</si>
  <si>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</si>
  <si>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</si>
  <si>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I. ETAPA - PÁTEŘNÍ ROZVODY a budova C</t>
  </si>
  <si>
    <t>713</t>
  </si>
  <si>
    <t>Izolace tepelné</t>
  </si>
  <si>
    <t>SO-1</t>
  </si>
  <si>
    <t>1</t>
  </si>
  <si>
    <t>713551168RU1</t>
  </si>
  <si>
    <t>Protipožární přepážka typ P, požární odolnost EI 120, průřez do 0,8 m2</t>
  </si>
  <si>
    <t>kus</t>
  </si>
  <si>
    <t>RTS I / 2023</t>
  </si>
  <si>
    <t>7</t>
  </si>
  <si>
    <t>713_</t>
  </si>
  <si>
    <t>SO-1_71_</t>
  </si>
  <si>
    <t>SO-1_</t>
  </si>
  <si>
    <t>722</t>
  </si>
  <si>
    <t>Vnitřní vodovod</t>
  </si>
  <si>
    <t>2</t>
  </si>
  <si>
    <t>722110818R00</t>
  </si>
  <si>
    <t>Demontáž potrubí z litinových trub přírubových, DN 200 mm</t>
  </si>
  <si>
    <t>m</t>
  </si>
  <si>
    <t>722_</t>
  </si>
  <si>
    <t>SO-1_72_</t>
  </si>
  <si>
    <t>3</t>
  </si>
  <si>
    <t>722170804R00</t>
  </si>
  <si>
    <t>Demontáž rozvodů vody z plastů do D 63 mm</t>
  </si>
  <si>
    <t>4</t>
  </si>
  <si>
    <t>722170801R00</t>
  </si>
  <si>
    <t>Demontáž rozvodů vody z plastů do D 32 mm</t>
  </si>
  <si>
    <t>5</t>
  </si>
  <si>
    <t>722130803R00</t>
  </si>
  <si>
    <t>Demontáž potrubí ocelových závitových, DN 50 mm</t>
  </si>
  <si>
    <t>6</t>
  </si>
  <si>
    <t>722211817R00</t>
  </si>
  <si>
    <t>Demontáž armatur vodovodních se dvěma přírubami DN 150 mm</t>
  </si>
  <si>
    <t>722260804R00</t>
  </si>
  <si>
    <t>Demontáž vodoměrů přírubových DN 150 mm</t>
  </si>
  <si>
    <t>8</t>
  </si>
  <si>
    <t>722178618R00</t>
  </si>
  <si>
    <t>Potrubí vícevrstvé vodovodní  PP-RCT/AL/PP-R STABI BETA Instaplast,polyfuzně svařené, D 90 x 10,1 mm</t>
  </si>
  <si>
    <t>9</t>
  </si>
  <si>
    <t>722178617R00</t>
  </si>
  <si>
    <t>Potrubí vícevrstvé vodovodní  PP-RCT/AL/PP-R STABI BETA Instaplast, polyfuzně svařené, D 75 x 8,4 mm</t>
  </si>
  <si>
    <t>10</t>
  </si>
  <si>
    <t>722178616R00</t>
  </si>
  <si>
    <t>Potrubí vícevrstvé vodovodní  PP-RCT/AL/PP-R STABI BETA Instaplast, polyfuzně svařené, D 63 x 7,1 mm</t>
  </si>
  <si>
    <t>11</t>
  </si>
  <si>
    <t>722178615R00</t>
  </si>
  <si>
    <t>Potrubí vícevrstvé vodovodní  PP-RCT/AL/PP-R STABI BETA Instaplast, polyfuzně svařené, D 50 x 5,6 mm</t>
  </si>
  <si>
    <t>12</t>
  </si>
  <si>
    <t>722178614R00</t>
  </si>
  <si>
    <t>Potrubí vícevrstvé vodovodní  PP-RCT/AL/PP-R STABI BETA Instaplast, polyfuzně svařené, D 40 x 4,5 mm</t>
  </si>
  <si>
    <t>13</t>
  </si>
  <si>
    <t>722178613R00</t>
  </si>
  <si>
    <t>Potrubí vícevrstvé vodovodní  PP-RCT/AL/PP-R STABI BETA Instaplast, polyfuzně svařené, D 32 x 3,6 mm</t>
  </si>
  <si>
    <t>14</t>
  </si>
  <si>
    <t>722174919R00</t>
  </si>
  <si>
    <t>Sestavení plastového rozvodu vody D 90 mm</t>
  </si>
  <si>
    <t>15</t>
  </si>
  <si>
    <t>722174918R00</t>
  </si>
  <si>
    <t>Sestavení plastového rozvodu vody D 75 mm</t>
  </si>
  <si>
    <t>16</t>
  </si>
  <si>
    <t>722174917R00</t>
  </si>
  <si>
    <t>Sestavení plastového rozvodu vody D 63 mm</t>
  </si>
  <si>
    <t>17</t>
  </si>
  <si>
    <t>722174916R00</t>
  </si>
  <si>
    <t>Sestavení plastového rozvodu vody D 50 mm</t>
  </si>
  <si>
    <t>18</t>
  </si>
  <si>
    <t>722174915R00</t>
  </si>
  <si>
    <t>Sestavení plastového rozvodu vody D 40 mm</t>
  </si>
  <si>
    <t>19</t>
  </si>
  <si>
    <t>722174914R00</t>
  </si>
  <si>
    <t>Sestavení plastového rozvodu vody D 32 mm</t>
  </si>
  <si>
    <t>20</t>
  </si>
  <si>
    <t>722239115R00</t>
  </si>
  <si>
    <t>Montáž kompenzátoru vodovodního, závitového, vlnovcového, osového G 6/4"</t>
  </si>
  <si>
    <t>21</t>
  </si>
  <si>
    <t>722260904R00</t>
  </si>
  <si>
    <t>Zpětná montáž vodoměrů přírubových DN 80 mm</t>
  </si>
  <si>
    <t>22</t>
  </si>
  <si>
    <t>722269114R00</t>
  </si>
  <si>
    <t>Montáž vodoměru závitového jdnovt. suchob. G5/4"</t>
  </si>
  <si>
    <t>23</t>
  </si>
  <si>
    <t>722265163R00</t>
  </si>
  <si>
    <t>Vodoměr domovní TV Sensus AN 90 DN 20 x 190 mm, Qn 2,5</t>
  </si>
  <si>
    <t>24</t>
  </si>
  <si>
    <t>722235118R00</t>
  </si>
  <si>
    <t>Kohout vodovodní, kulový, vnitřní-vnitřní závit, IVAR PERFECTA, DN 80 mm</t>
  </si>
  <si>
    <t>25</t>
  </si>
  <si>
    <t>722235528R00</t>
  </si>
  <si>
    <t>Filtr, vodovodní, vnitřní-vnitřní závit, IVAR FIV.08412, DN 80 mm</t>
  </si>
  <si>
    <t>26</t>
  </si>
  <si>
    <t>722235658R00</t>
  </si>
  <si>
    <t>Ventil vodovodní, zpětný, EURA-SPRINT,IVAR.CIM 30 VA, DN 80 mm</t>
  </si>
  <si>
    <t>27</t>
  </si>
  <si>
    <t>722235877R00</t>
  </si>
  <si>
    <t>Kompenzátor pryžový, IVAR.BRA.T8.500, DN 80 mm</t>
  </si>
  <si>
    <t>28</t>
  </si>
  <si>
    <t>722235865R00</t>
  </si>
  <si>
    <t>Kompenzátor vodovodní, pryžový, IVAR.BRA.T8.500, DN 50 mm</t>
  </si>
  <si>
    <t>29</t>
  </si>
  <si>
    <t>30</t>
  </si>
  <si>
    <t>722235146R00</t>
  </si>
  <si>
    <t>Kohout vodovodní, kulový s vypouštěním, vnitřní-vnitřní závit, IVAR, DN 50 mm</t>
  </si>
  <si>
    <t>31</t>
  </si>
  <si>
    <t>722172964R00</t>
  </si>
  <si>
    <t>Vsazení odbočky do plastového potrubí polyfuzí včetně T-kusu D 32 mm, vodovod</t>
  </si>
  <si>
    <t>32</t>
  </si>
  <si>
    <t>722172965R00</t>
  </si>
  <si>
    <t>Vsazení odbočky do plastového potrubí polyfuzí včetně T-kusu D 40 mm, vodovod</t>
  </si>
  <si>
    <t>33</t>
  </si>
  <si>
    <t>722172966R00</t>
  </si>
  <si>
    <t>Vsazení odbočky do plastového potrubí polyfuzí včetně T-kusu D 50 mm, vodovod</t>
  </si>
  <si>
    <t>34</t>
  </si>
  <si>
    <t>722172967R00</t>
  </si>
  <si>
    <t>Vsazení odbočky do plastového potrubí polyfuzí včetně T-kusu D 63 mm, vodovod</t>
  </si>
  <si>
    <t>35</t>
  </si>
  <si>
    <t>722172968R00</t>
  </si>
  <si>
    <t>Vsazení odbočky do plastového potrubí polyfuzí včetně T-kusu D 75 mm, vodovod</t>
  </si>
  <si>
    <t>36</t>
  </si>
  <si>
    <t>722172969R00</t>
  </si>
  <si>
    <t>Vsazení odbočky do plastového potrubí polyfuzí včetně T-kusu D 90 mm, vodovod</t>
  </si>
  <si>
    <t>37</t>
  </si>
  <si>
    <t>38</t>
  </si>
  <si>
    <t>39</t>
  </si>
  <si>
    <t>722235117R00</t>
  </si>
  <si>
    <t>Kohout vodovodní, kulový, vnitřní-vnitřní závit, IVAR PERFECTA, DN 65 mm</t>
  </si>
  <si>
    <t>40</t>
  </si>
  <si>
    <t>722235116R00</t>
  </si>
  <si>
    <t>Kohout vodovodní, kulový, vnitřní-vnitřní závit, IVAR PERFECTA, DN 50 mm</t>
  </si>
  <si>
    <t>41</t>
  </si>
  <si>
    <t>722235115R00</t>
  </si>
  <si>
    <t>Kohout vodovodní, kulový, vnitřní-vnitřní závit, IVAR PERFECTA, DN 40 mm</t>
  </si>
  <si>
    <t>42</t>
  </si>
  <si>
    <t>722235114R00</t>
  </si>
  <si>
    <t>Kohout vodovodní, kulový, vnitřní-vnitřní závit, IVAR PERFECTA, DN 32 mm</t>
  </si>
  <si>
    <t>43</t>
  </si>
  <si>
    <t>722235113R00</t>
  </si>
  <si>
    <t>Kohout vodovodní, kulový, vnitřní-vnitřní závit, IVAR PERFECTA, DN 25 mm</t>
  </si>
  <si>
    <t>44</t>
  </si>
  <si>
    <t>722235648R00</t>
  </si>
  <si>
    <t>Klapka vodovodní, zpětná, vodorovná, CLAPET FIV.08406, DN 80 mm</t>
  </si>
  <si>
    <t>45</t>
  </si>
  <si>
    <t>46</t>
  </si>
  <si>
    <t>722235647R00</t>
  </si>
  <si>
    <t>Klapka vodovodní, zpětná, vodorovná, CLAPET FIV.08406, DN 65 mm</t>
  </si>
  <si>
    <t>47</t>
  </si>
  <si>
    <t>722235646R00</t>
  </si>
  <si>
    <t>Klapka vodovodní, zpětná, vodorovná, CLAPET FIV.08406, DN 50 mm</t>
  </si>
  <si>
    <t>48</t>
  </si>
  <si>
    <t>722235645R00</t>
  </si>
  <si>
    <t>Klapka vodovodní, zpětná, vodorovná, CLAPET FIV.08406, DN 40 mm</t>
  </si>
  <si>
    <t>49</t>
  </si>
  <si>
    <t>722235644R00</t>
  </si>
  <si>
    <t>Klapka vodovodní, zpětná, vodorovná, CLAPET FIV.08406, DN 32 mm</t>
  </si>
  <si>
    <t>50</t>
  </si>
  <si>
    <t>722235643R00</t>
  </si>
  <si>
    <t>Klapka vodovodní, zpětná, vodorovná, CLAPET FIV.08406, DN 25 mm</t>
  </si>
  <si>
    <t>51</t>
  </si>
  <si>
    <t>722235816R00</t>
  </si>
  <si>
    <t>Ventil redukční s manometrem PN 25, IVAR.5350, DN 50 mm</t>
  </si>
  <si>
    <t>52</t>
  </si>
  <si>
    <t>722235813R00</t>
  </si>
  <si>
    <t>Ventil redukční s manometrem PN 25, IVAR.5350, DN 25 mm</t>
  </si>
  <si>
    <t>53</t>
  </si>
  <si>
    <t>722202448R00</t>
  </si>
  <si>
    <t>Kohout kulový rozebíratelný s výpustí PP-R INSTAPLAST, D 75 mm</t>
  </si>
  <si>
    <t>54</t>
  </si>
  <si>
    <t>55</t>
  </si>
  <si>
    <t>722202447R00</t>
  </si>
  <si>
    <t>Kohout kulový rozebíratelný s výpustí PP-R INSTAPLAST, D 63 mm</t>
  </si>
  <si>
    <t>56</t>
  </si>
  <si>
    <t>722202446R00</t>
  </si>
  <si>
    <t>Kohout kulový rozebíratelný s výpustí PP-R INSTAPLAST, D 50 mm</t>
  </si>
  <si>
    <t>57</t>
  </si>
  <si>
    <t>722202445R00</t>
  </si>
  <si>
    <t>Kohout kulový rozebíratelný s výpustí PP-R INSTAPLAST, D 40 mm</t>
  </si>
  <si>
    <t>58</t>
  </si>
  <si>
    <t>722202444R00</t>
  </si>
  <si>
    <t>Kohout kulový rozebíratelný s výpustí PP-R INSTAPLAST, D 32 mm</t>
  </si>
  <si>
    <t>59</t>
  </si>
  <si>
    <t>722202443R00</t>
  </si>
  <si>
    <t>Kohout kulový rozebíratelný s výpustí PP-R INSTAPLAST, D 25 mm</t>
  </si>
  <si>
    <t>60</t>
  </si>
  <si>
    <t>722175129R00</t>
  </si>
  <si>
    <t>Montáž plastových vodovodních tvarovek, polyfuzně svařovaných, dva spoje, D 90 mm</t>
  </si>
  <si>
    <t>61</t>
  </si>
  <si>
    <t>722175128R00</t>
  </si>
  <si>
    <t>Montáž plastových vodovodních tvarovek, polyfuzně svařovaných, dva spoje, D 75 mm</t>
  </si>
  <si>
    <t>62</t>
  </si>
  <si>
    <t>722175127R00</t>
  </si>
  <si>
    <t>Montáž plastových vodovodních tvarovek, polyfuzně svařovaných, dva spoje, D 63 mm</t>
  </si>
  <si>
    <t>63</t>
  </si>
  <si>
    <t>722175126R00</t>
  </si>
  <si>
    <t>Montáž plastových vodovodních tvarovek, polyfuzně svařovaných, dva spoje, D 50 mm</t>
  </si>
  <si>
    <t>64</t>
  </si>
  <si>
    <t>722181215RY7</t>
  </si>
  <si>
    <t>Izolace návleková  MIRELON PRO tl. stěny 25 mm</t>
  </si>
  <si>
    <t>65</t>
  </si>
  <si>
    <t>722181215RY5</t>
  </si>
  <si>
    <t>66</t>
  </si>
  <si>
    <t>722181215RY3</t>
  </si>
  <si>
    <t>67</t>
  </si>
  <si>
    <t>722181215RW6</t>
  </si>
  <si>
    <t>68</t>
  </si>
  <si>
    <t>722181215RV9</t>
  </si>
  <si>
    <t>69</t>
  </si>
  <si>
    <t>722181215RU1</t>
  </si>
  <si>
    <t>70</t>
  </si>
  <si>
    <t>722182096R00</t>
  </si>
  <si>
    <t>Příplatek za montáž izolačních tvarovek DN 80 mm</t>
  </si>
  <si>
    <t>71</t>
  </si>
  <si>
    <t>722182094R00</t>
  </si>
  <si>
    <t>Příplatek za montáž izolačních tvarovek DN 40 mm</t>
  </si>
  <si>
    <t>72</t>
  </si>
  <si>
    <t>722249104R00</t>
  </si>
  <si>
    <t>Montáž armatury požární - hydrant  G 6/4"</t>
  </si>
  <si>
    <t>73</t>
  </si>
  <si>
    <t>722254115RT2</t>
  </si>
  <si>
    <t>Skříň hydrantová s výzbrojí D 25 mm (hadice Pyrotex)</t>
  </si>
  <si>
    <t>soubor</t>
  </si>
  <si>
    <t>74</t>
  </si>
  <si>
    <t>722259201R00</t>
  </si>
  <si>
    <t>Montáž hydrantového systému D25</t>
  </si>
  <si>
    <t>75</t>
  </si>
  <si>
    <t>722259991R00</t>
  </si>
  <si>
    <t>Tlaková zkouška nástěnného požárního hydrantu</t>
  </si>
  <si>
    <t>76</t>
  </si>
  <si>
    <t>722259994R00</t>
  </si>
  <si>
    <t>Revize nástěnného požárního hydrantu</t>
  </si>
  <si>
    <t>77</t>
  </si>
  <si>
    <t>722259995R00</t>
  </si>
  <si>
    <t>Vystavení revizní zprávy - nástěnný požární hydrant</t>
  </si>
  <si>
    <t>78</t>
  </si>
  <si>
    <t>722290234R00</t>
  </si>
  <si>
    <t>Proplach a dezinfekce vodovodního potrubí DN 80 mm</t>
  </si>
  <si>
    <t>79</t>
  </si>
  <si>
    <t>722280108R00</t>
  </si>
  <si>
    <t>Tlaková zkouška vodovodního potrubí DN 50 mm</t>
  </si>
  <si>
    <t>733</t>
  </si>
  <si>
    <t>Rozvod potrubí</t>
  </si>
  <si>
    <t>80</t>
  </si>
  <si>
    <t>733190109R00</t>
  </si>
  <si>
    <t>Tlaková zkouška potrubí  DN 65</t>
  </si>
  <si>
    <t>733_</t>
  </si>
  <si>
    <t>SO-1_73_</t>
  </si>
  <si>
    <t>81</t>
  </si>
  <si>
    <t>733190107R00</t>
  </si>
  <si>
    <t>Tlaková zkouška potrubí  DN 40</t>
  </si>
  <si>
    <t>82</t>
  </si>
  <si>
    <t>733190106R00</t>
  </si>
  <si>
    <t>Tlaková zkouška potrubí  DN 32</t>
  </si>
  <si>
    <t>89</t>
  </si>
  <si>
    <t>Ostatní konstrukce a práce na trubním vedení</t>
  </si>
  <si>
    <t>83</t>
  </si>
  <si>
    <t>892241111R00</t>
  </si>
  <si>
    <t>Tlaková zkouška vodovodního potrubí DN 80</t>
  </si>
  <si>
    <t>89_</t>
  </si>
  <si>
    <t>SO-1_8_</t>
  </si>
  <si>
    <t>97</t>
  </si>
  <si>
    <t>Prorážení otvorů a ostatní bourací práce</t>
  </si>
  <si>
    <t>84</t>
  </si>
  <si>
    <t>971033541R00</t>
  </si>
  <si>
    <t>Vybourání otv. zeď cihel. pl.1 m2, tl.30 cm, MVC</t>
  </si>
  <si>
    <t>m3</t>
  </si>
  <si>
    <t>97_</t>
  </si>
  <si>
    <t>SO-1_9_</t>
  </si>
  <si>
    <t>H722</t>
  </si>
  <si>
    <t>85</t>
  </si>
  <si>
    <t>998722101R00</t>
  </si>
  <si>
    <t>Přesun hmot pro vnitřní vodovod, výšky do 6 m</t>
  </si>
  <si>
    <t>t</t>
  </si>
  <si>
    <t>H722_</t>
  </si>
  <si>
    <t>M21</t>
  </si>
  <si>
    <t>Elektromontáže</t>
  </si>
  <si>
    <t>86</t>
  </si>
  <si>
    <t>210020953RT2</t>
  </si>
  <si>
    <t>Tabulka informační - popis armatur</t>
  </si>
  <si>
    <t>M21_</t>
  </si>
  <si>
    <t>S</t>
  </si>
  <si>
    <t>Přesuny sutí</t>
  </si>
  <si>
    <t>87</t>
  </si>
  <si>
    <t>979011221R00</t>
  </si>
  <si>
    <t>Svislá doprava suti a vybour. hmot za 1.PP nošením</t>
  </si>
  <si>
    <t>S_</t>
  </si>
  <si>
    <t>88</t>
  </si>
  <si>
    <t>979082212R00</t>
  </si>
  <si>
    <t>Vodorovná doprava suti po suchu do 50 m</t>
  </si>
  <si>
    <t>979087313R00</t>
  </si>
  <si>
    <t>Nakládání vybouraných trub na dopravní prostředek</t>
  </si>
  <si>
    <t>90</t>
  </si>
  <si>
    <t>979086213R00</t>
  </si>
  <si>
    <t>Nakládání vybouraných hmot na dopravní prostředek</t>
  </si>
  <si>
    <t>91</t>
  </si>
  <si>
    <t>979087392R00</t>
  </si>
  <si>
    <t>Příplatek za nošení vyb. hmot každých dalších 10 m</t>
  </si>
  <si>
    <t>92</t>
  </si>
  <si>
    <t>979091211R00</t>
  </si>
  <si>
    <t>Vodorovné přemístění suti do 7 km</t>
  </si>
  <si>
    <t>93</t>
  </si>
  <si>
    <t>979093111R00</t>
  </si>
  <si>
    <t>Uložení suti na skládku bez zhutnění</t>
  </si>
  <si>
    <t>94</t>
  </si>
  <si>
    <t>979981104R00</t>
  </si>
  <si>
    <t>Kontejner, přistavení na 24 h, odvoz a likvidace, suť bez příměsí, kapacita 9 t</t>
  </si>
  <si>
    <t>95</t>
  </si>
  <si>
    <t>979990101R00</t>
  </si>
  <si>
    <t>Poplatek za uložení směsi betonu a cihel skupina 170101 a 170102</t>
  </si>
  <si>
    <t>96</t>
  </si>
  <si>
    <t>979990191R00</t>
  </si>
  <si>
    <t>Poplatek za uložení suti - plastové výrobky, skupina odpadu 170203</t>
  </si>
  <si>
    <t>979990265R00</t>
  </si>
  <si>
    <t>Poplatek za uložení směsné stavební a demoliční suti s obsahem nebezpečných látek</t>
  </si>
  <si>
    <t>98</t>
  </si>
  <si>
    <t>28654219</t>
  </si>
  <si>
    <t>Redukce vnitřní/vnější PPR d 90x75 mm</t>
  </si>
  <si>
    <t>0</t>
  </si>
  <si>
    <t>Z99999_</t>
  </si>
  <si>
    <t>SO-1_Z_</t>
  </si>
  <si>
    <t>99</t>
  </si>
  <si>
    <t>286542142</t>
  </si>
  <si>
    <t>Redukce vnitřní/vnější PPR d 75x50 mm</t>
  </si>
  <si>
    <t>100</t>
  </si>
  <si>
    <t>28654213</t>
  </si>
  <si>
    <t>Redukce vnitřní/vnější PPR d 63x50 mm</t>
  </si>
  <si>
    <t>101</t>
  </si>
  <si>
    <t>28654207</t>
  </si>
  <si>
    <t>Redukce vnitřní/vnější PPR d 50x40 mm</t>
  </si>
  <si>
    <t>102</t>
  </si>
  <si>
    <t>28654014</t>
  </si>
  <si>
    <t>Koleno 90° PPR  D 90 mm</t>
  </si>
  <si>
    <t>103</t>
  </si>
  <si>
    <t>28654013</t>
  </si>
  <si>
    <t>Koleno 90° PPR  D 75 mm</t>
  </si>
  <si>
    <t>104</t>
  </si>
  <si>
    <t>28654012</t>
  </si>
  <si>
    <t>Koleno 90° PPR  D 63 mm</t>
  </si>
  <si>
    <t>Celkem: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</si>
  <si>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</si>
  <si>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</si>
  <si>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</si>
  <si>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</si>
  <si>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</si>
  <si>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F</t>
  </si>
  <si>
    <t>T</t>
  </si>
  <si>
    <t>Vedlejší a ostatní rozpočtové náklady</t>
  </si>
  <si>
    <t>Vedlejší rozpočtové náklady VRN</t>
  </si>
  <si>
    <t>Kč</t>
  </si>
  <si>
    <t>Základna</t>
  </si>
  <si>
    <t>Celkem NUS</t>
  </si>
  <si>
    <t>Celkem VRN</t>
  </si>
  <si>
    <t>Ostatní rozpočtové náklady ORN</t>
  </si>
  <si>
    <t>Ostatní rozpočtové náklady (ORN)</t>
  </si>
  <si>
    <t>Dočasné úpravy/propojky/zaslepení</t>
  </si>
  <si>
    <t>Celkem ORN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</si>
</sst>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#,##0.00"/>
  </numFmts>
  <fonts count="11">
    <font>
      <sz val="8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6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left" vertical="center"/>
      <protection/>
    </xf>
    <xf numFmtId="164" fontId="1" fillId="0" borderId="8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3" borderId="9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left" vertical="center"/>
      <protection/>
    </xf>
    <xf numFmtId="164" fontId="6" fillId="3" borderId="10" xfId="0" applyNumberFormat="1" applyFont="1" applyFill="1" applyBorder="1" applyAlignment="1" applyProtection="1">
      <alignment horizontal="center" vertical="center"/>
      <protection/>
    </xf>
    <xf numFmtId="164" fontId="8" fillId="0" borderId="11" xfId="0" applyNumberFormat="1" applyFont="1" applyFill="1" applyBorder="1" applyAlignment="1" applyProtection="1">
      <alignment horizontal="left" vertical="center"/>
      <protection/>
    </xf>
    <xf numFmtId="164" fontId="9" fillId="0" borderId="8" xfId="0" applyNumberFormat="1" applyFont="1" applyFill="1" applyBorder="1" applyAlignment="1" applyProtection="1">
      <alignment horizontal="left" vertical="center"/>
      <protection/>
    </xf>
    <xf numFmtId="167" fontId="9" fillId="0" borderId="8" xfId="0" applyNumberFormat="1" applyFont="1" applyFill="1" applyBorder="1" applyAlignment="1" applyProtection="1">
      <alignment horizontal="right" vertical="center"/>
      <protection/>
    </xf>
    <xf numFmtId="164" fontId="9" fillId="0" borderId="8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 applyProtection="1">
      <alignment horizontal="left" vertical="center"/>
      <protection/>
    </xf>
    <xf numFmtId="167" fontId="9" fillId="0" borderId="5" xfId="0" applyNumberFormat="1" applyFont="1" applyFill="1" applyBorder="1" applyAlignment="1" applyProtection="1">
      <alignment horizontal="right" vertical="center"/>
      <protection/>
    </xf>
    <xf numFmtId="164" fontId="9" fillId="0" borderId="5" xfId="0" applyNumberFormat="1" applyFont="1" applyFill="1" applyBorder="1" applyAlignment="1" applyProtection="1">
      <alignment horizontal="left" vertical="center"/>
      <protection/>
    </xf>
    <xf numFmtId="164" fontId="9" fillId="0" borderId="5" xfId="0" applyNumberFormat="1" applyFont="1" applyFill="1" applyBorder="1" applyAlignment="1" applyProtection="1">
      <alignment horizontal="right" vertical="center"/>
      <protection/>
    </xf>
    <xf numFmtId="164" fontId="8" fillId="0" borderId="9" xfId="0" applyNumberFormat="1" applyFont="1" applyFill="1" applyBorder="1" applyAlignment="1" applyProtection="1">
      <alignment horizontal="left" vertical="center"/>
      <protection/>
    </xf>
    <xf numFmtId="167" fontId="9" fillId="0" borderId="10" xfId="0" applyNumberFormat="1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 applyProtection="1">
      <alignment horizontal="left" vertical="center"/>
      <protection/>
    </xf>
    <xf numFmtId="167" fontId="9" fillId="0" borderId="13" xfId="0" applyNumberFormat="1" applyFont="1" applyFill="1" applyBorder="1" applyAlignment="1" applyProtection="1">
      <alignment horizontal="right" vertical="center"/>
      <protection/>
    </xf>
    <xf numFmtId="164" fontId="8" fillId="0" borderId="8" xfId="0" applyNumberFormat="1" applyFont="1" applyFill="1" applyBorder="1" applyAlignment="1" applyProtection="1">
      <alignment horizontal="left" vertical="center"/>
      <protection/>
    </xf>
    <xf numFmtId="164" fontId="8" fillId="3" borderId="14" xfId="0" applyNumberFormat="1" applyFont="1" applyFill="1" applyBorder="1" applyAlignment="1" applyProtection="1">
      <alignment horizontal="left" vertical="center"/>
      <protection/>
    </xf>
    <xf numFmtId="167" fontId="8" fillId="3" borderId="10" xfId="0" applyNumberFormat="1" applyFont="1" applyFill="1" applyBorder="1" applyAlignment="1" applyProtection="1">
      <alignment horizontal="right" vertical="center"/>
      <protection/>
    </xf>
    <xf numFmtId="164" fontId="8" fillId="3" borderId="6" xfId="0" applyNumberFormat="1" applyFont="1" applyFill="1" applyBorder="1" applyAlignment="1" applyProtection="1">
      <alignment horizontal="left" vertical="center"/>
      <protection/>
    </xf>
    <xf numFmtId="167" fontId="8" fillId="3" borderId="8" xfId="0" applyNumberFormat="1" applyFont="1" applyFill="1" applyBorder="1" applyAlignment="1" applyProtection="1">
      <alignment horizontal="right" vertical="center"/>
      <protection/>
    </xf>
    <xf numFmtId="164" fontId="8" fillId="3" borderId="15" xfId="0" applyNumberFormat="1" applyFont="1" applyFill="1" applyBorder="1" applyAlignment="1" applyProtection="1">
      <alignment horizontal="left" vertical="center"/>
      <protection/>
    </xf>
    <xf numFmtId="164" fontId="8" fillId="3" borderId="7" xfId="0" applyNumberFormat="1" applyFont="1" applyFill="1" applyBorder="1" applyAlignment="1" applyProtection="1">
      <alignment horizontal="left" vertical="center"/>
      <protection/>
    </xf>
    <xf numFmtId="164" fontId="9" fillId="0" borderId="16" xfId="0" applyNumberFormat="1" applyFont="1" applyFill="1" applyBorder="1" applyAlignment="1" applyProtection="1">
      <alignment horizontal="left" vertical="center"/>
      <protection/>
    </xf>
    <xf numFmtId="164" fontId="9" fillId="0" borderId="17" xfId="0" applyNumberFormat="1" applyFont="1" applyFill="1" applyBorder="1" applyAlignment="1" applyProtection="1">
      <alignment horizontal="left" vertical="center"/>
      <protection/>
    </xf>
    <xf numFmtId="164" fontId="9" fillId="0" borderId="18" xfId="0" applyNumberFormat="1" applyFont="1" applyFill="1" applyBorder="1" applyAlignment="1" applyProtection="1">
      <alignment horizontal="left" vertical="center"/>
      <protection/>
    </xf>
    <xf numFmtId="164" fontId="9" fillId="0" borderId="19" xfId="0" applyNumberFormat="1" applyFont="1" applyFill="1" applyBorder="1" applyAlignment="1" applyProtection="1">
      <alignment horizontal="left" vertical="center"/>
      <protection/>
    </xf>
    <xf numFmtId="164" fontId="9" fillId="0" borderId="20" xfId="0" applyNumberFormat="1" applyFont="1" applyFill="1" applyBorder="1" applyAlignment="1" applyProtection="1">
      <alignment horizontal="left" vertical="center"/>
      <protection/>
    </xf>
    <xf numFmtId="164" fontId="9" fillId="0" borderId="2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7" fontId="4" fillId="3" borderId="0" xfId="0" applyNumberFormat="1" applyFont="1" applyFill="1" applyBorder="1" applyAlignment="1" applyProtection="1">
      <alignment horizontal="right" vertical="center"/>
      <protection/>
    </xf>
    <xf numFmtId="164" fontId="1" fillId="0" borderId="2" xfId="0" applyNumberFormat="1" applyFont="1" applyFill="1" applyBorder="1" applyAlignment="1" applyProtection="1">
      <alignment horizontal="lef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2" xfId="0" applyNumberFormat="1" applyFont="1" applyFill="1" applyBorder="1" applyAlignment="1" applyProtection="1">
      <alignment horizontal="left" vertical="center"/>
      <protection/>
    </xf>
    <xf numFmtId="164" fontId="4" fillId="0" borderId="23" xfId="0" applyNumberFormat="1" applyFont="1" applyFill="1" applyBorder="1" applyAlignment="1" applyProtection="1">
      <alignment horizontal="left" vertical="center"/>
      <protection/>
    </xf>
    <xf numFmtId="164" fontId="4" fillId="0" borderId="23" xfId="0" applyNumberFormat="1" applyFont="1" applyFill="1" applyBorder="1" applyAlignment="1" applyProtection="1">
      <alignment horizontal="center" vertical="center"/>
      <protection/>
    </xf>
    <xf numFmtId="164" fontId="4" fillId="0" borderId="24" xfId="0" applyNumberFormat="1" applyFont="1" applyFill="1" applyBorder="1" applyAlignment="1" applyProtection="1">
      <alignment horizontal="center" vertical="center"/>
      <protection/>
    </xf>
    <xf numFmtId="164" fontId="4" fillId="0" borderId="25" xfId="0" applyNumberFormat="1" applyFont="1" applyFill="1" applyBorder="1" applyAlignment="1" applyProtection="1">
      <alignment horizontal="center" vertical="center"/>
      <protection/>
    </xf>
    <xf numFmtId="164" fontId="4" fillId="3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26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27" xfId="0" applyNumberFormat="1" applyFont="1" applyFill="1" applyBorder="1" applyAlignment="1" applyProtection="1">
      <alignment horizontal="center" vertical="center"/>
      <protection/>
    </xf>
    <xf numFmtId="164" fontId="4" fillId="0" borderId="28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1" fillId="3" borderId="4" xfId="0" applyNumberFormat="1" applyFont="1" applyFill="1" applyBorder="1" applyAlignment="1" applyProtection="1">
      <alignment horizontal="left" vertical="center"/>
      <protection/>
    </xf>
    <xf numFmtId="164" fontId="4" fillId="3" borderId="0" xfId="0" applyNumberFormat="1" applyFont="1" applyFill="1" applyBorder="1" applyAlignment="1" applyProtection="1">
      <alignment horizontal="left" vertical="center"/>
      <protection/>
    </xf>
    <xf numFmtId="164" fontId="1" fillId="3" borderId="0" xfId="0" applyNumberFormat="1" applyFont="1" applyFill="1" applyBorder="1" applyAlignment="1" applyProtection="1">
      <alignment horizontal="left" vertical="center"/>
      <protection/>
    </xf>
    <xf numFmtId="164" fontId="4" fillId="3" borderId="5" xfId="0" applyNumberFormat="1" applyFont="1" applyFill="1" applyBorder="1" applyAlignment="1" applyProtection="1">
      <alignment horizontal="right" vertical="center"/>
      <protection/>
    </xf>
    <xf numFmtId="164" fontId="1" fillId="0" borderId="4" xfId="0" applyNumberFormat="1" applyFont="1" applyFill="1" applyBorder="1" applyAlignment="1" applyProtection="1">
      <alignment horizontal="lef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6" xfId="0" applyNumberFormat="1" applyFont="1" applyFill="1" applyBorder="1" applyAlignment="1" applyProtection="1">
      <alignment horizontal="left" vertical="center"/>
      <protection/>
    </xf>
    <xf numFmtId="167" fontId="1" fillId="0" borderId="7" xfId="0" applyNumberFormat="1" applyFont="1" applyFill="1" applyBorder="1" applyAlignment="1" applyProtection="1">
      <alignment horizontal="right" vertical="center"/>
      <protection/>
    </xf>
    <xf numFmtId="167" fontId="1" fillId="2" borderId="7" xfId="0" applyNumberFormat="1" applyFont="1" applyFill="1" applyBorder="1" applyAlignment="1" applyProtection="1">
      <alignment horizontal="right" vertical="center"/>
      <protection locked="0"/>
    </xf>
    <xf numFmtId="164" fontId="1" fillId="0" borderId="8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4" fillId="0" borderId="29" xfId="0" applyNumberFormat="1" applyFont="1" applyFill="1" applyBorder="1" applyAlignment="1" applyProtection="1">
      <alignment horizontal="left" vertical="center"/>
      <protection/>
    </xf>
    <xf numFmtId="164" fontId="4" fillId="0" borderId="30" xfId="0" applyNumberFormat="1" applyFont="1" applyFill="1" applyBorder="1" applyAlignment="1" applyProtection="1">
      <alignment horizontal="left" vertical="center"/>
      <protection/>
    </xf>
    <xf numFmtId="164" fontId="4" fillId="0" borderId="31" xfId="0" applyNumberFormat="1" applyFont="1" applyFill="1" applyBorder="1" applyAlignment="1" applyProtection="1">
      <alignment horizontal="center" vertical="center"/>
      <protection/>
    </xf>
    <xf numFmtId="164" fontId="4" fillId="0" borderId="32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25" xfId="0" applyNumberFormat="1" applyFont="1" applyFill="1" applyBorder="1" applyAlignment="1" applyProtection="1">
      <alignment horizontal="left" vertical="center"/>
      <protection/>
    </xf>
    <xf numFmtId="164" fontId="4" fillId="0" borderId="33" xfId="0" applyNumberFormat="1" applyFont="1" applyFill="1" applyBorder="1" applyAlignment="1" applyProtection="1">
      <alignment horizontal="right" vertical="center"/>
      <protection/>
    </xf>
    <xf numFmtId="164" fontId="1" fillId="0" borderId="12" xfId="0" applyNumberFormat="1" applyFont="1" applyFill="1" applyBorder="1" applyAlignment="1" applyProtection="1">
      <alignment horizontal="left" vertical="center"/>
      <protection/>
    </xf>
    <xf numFmtId="167" fontId="1" fillId="2" borderId="8" xfId="0" applyNumberFormat="1" applyFont="1" applyFill="1" applyBorder="1" applyAlignment="1" applyProtection="1">
      <alignment horizontal="right" vertical="center"/>
      <protection locked="0"/>
    </xf>
    <xf numFmtId="164" fontId="1" fillId="0" borderId="8" xfId="0" applyNumberFormat="1" applyFont="1" applyFill="1" applyBorder="1" applyAlignment="1" applyProtection="1">
      <alignment horizontal="left" vertical="center"/>
      <protection/>
    </xf>
    <xf numFmtId="167" fontId="1" fillId="0" borderId="8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left" vertical="center"/>
      <protection/>
    </xf>
    <xf numFmtId="167" fontId="1" fillId="0" borderId="5" xfId="0" applyNumberFormat="1" applyFont="1" applyFill="1" applyBorder="1" applyAlignment="1" applyProtection="1">
      <alignment horizontal="right" vertical="center"/>
      <protection/>
    </xf>
    <xf numFmtId="164" fontId="4" fillId="0" borderId="34" xfId="0" applyNumberFormat="1" applyFont="1" applyFill="1" applyBorder="1" applyAlignment="1" applyProtection="1">
      <alignment horizontal="left" vertical="center"/>
      <protection/>
    </xf>
    <xf numFmtId="164" fontId="4" fillId="0" borderId="35" xfId="0" applyNumberFormat="1" applyFont="1" applyFill="1" applyBorder="1" applyAlignment="1" applyProtection="1">
      <alignment horizontal="left" vertical="center"/>
      <protection/>
    </xf>
    <xf numFmtId="164" fontId="4" fillId="0" borderId="35" xfId="0" applyNumberFormat="1" applyFont="1" applyFill="1" applyBorder="1" applyAlignment="1" applyProtection="1">
      <alignment horizontal="right" vertical="center"/>
      <protection/>
    </xf>
    <xf numFmtId="167" fontId="4" fillId="0" borderId="35" xfId="0" applyNumberFormat="1" applyFont="1" applyFill="1" applyBorder="1" applyAlignment="1" applyProtection="1">
      <alignment horizontal="right" vertical="center"/>
      <protection/>
    </xf>
    <xf numFmtId="164" fontId="8" fillId="0" borderId="34" xfId="0" applyNumberFormat="1" applyFont="1" applyFill="1" applyBorder="1" applyAlignment="1" applyProtection="1">
      <alignment horizontal="left" vertical="center"/>
      <protection/>
    </xf>
    <xf numFmtId="167" fontId="8" fillId="0" borderId="35" xfId="0" applyNumberFormat="1" applyFont="1" applyFill="1" applyBorder="1" applyAlignment="1" applyProtection="1">
      <alignment horizontal="right" vertical="center"/>
      <protection/>
    </xf>
    <xf numFmtId="167" fontId="1" fillId="2" borderId="5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0</xdr:row>
      <xdr:rowOff>476250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1162050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295275</xdr:colOff>
      <xdr:row>0</xdr:row>
      <xdr:rowOff>476250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0</xdr:row>
      <xdr:rowOff>476250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="110" zoomScaleNormal="110" workbookViewId="0" topLeftCell="A1">
      <selection activeCell="F6" sqref="F6"/>
    </sheetView>
  </sheetViews>
  <sheetFormatPr defaultColWidth="9.33203125" defaultRowHeight="15" customHeight="1"/>
  <cols>
    <col min="1" max="1" width="10.66015625" style="1" customWidth="1"/>
    <col min="2" max="2" width="15" style="1" customWidth="1"/>
    <col min="3" max="3" width="31.66015625" style="1" customWidth="1"/>
    <col min="4" max="4" width="11.66015625" style="1" customWidth="1"/>
    <col min="5" max="5" width="16.33203125" style="1" customWidth="1"/>
    <col min="6" max="6" width="31.66015625" style="1" customWidth="1"/>
    <col min="7" max="7" width="10.66015625" style="1" customWidth="1"/>
    <col min="8" max="8" width="15" style="1" customWidth="1"/>
    <col min="9" max="9" width="31.66015625" style="1" customWidth="1"/>
    <col min="10" max="16384" width="14.16015625" style="0" customWidth="1"/>
  </cols>
  <sheetData>
    <row r="1" spans="1:9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/>
      <c r="C2" s="4">
        <f>'Stavební rozpočet'!C2</f>
        <v>0</v>
      </c>
      <c r="D2" s="4"/>
      <c r="E2" s="5" t="s">
        <v>2</v>
      </c>
      <c r="F2" s="6">
        <f>'Stavební rozpočet'!J2</f>
        <v>0</v>
      </c>
      <c r="G2" s="6"/>
      <c r="H2" s="5" t="s">
        <v>3</v>
      </c>
      <c r="I2" s="7" t="s">
        <v>4</v>
      </c>
    </row>
    <row r="3" spans="1:9" ht="15" customHeight="1">
      <c r="A3" s="3"/>
      <c r="B3" s="3"/>
      <c r="C3" s="4"/>
      <c r="D3" s="4"/>
      <c r="E3" s="5"/>
      <c r="F3" s="5"/>
      <c r="G3" s="6"/>
      <c r="H3" s="5"/>
      <c r="I3" s="7"/>
    </row>
    <row r="4" spans="1:9" ht="15" customHeight="1">
      <c r="A4" s="8" t="s">
        <v>5</v>
      </c>
      <c r="B4" s="8"/>
      <c r="C4" s="9">
        <f>'Stavební rozpočet'!C4</f>
        <v>0</v>
      </c>
      <c r="D4" s="9"/>
      <c r="E4" s="10" t="s">
        <v>6</v>
      </c>
      <c r="F4" s="9">
        <f>'Stavební rozpočet'!J4</f>
        <v>0</v>
      </c>
      <c r="G4" s="9"/>
      <c r="H4" s="10" t="s">
        <v>3</v>
      </c>
      <c r="I4" s="11" t="s">
        <v>7</v>
      </c>
    </row>
    <row r="5" spans="1:9" ht="15" customHeight="1">
      <c r="A5" s="8"/>
      <c r="B5" s="8"/>
      <c r="C5" s="9"/>
      <c r="D5" s="9"/>
      <c r="E5" s="10"/>
      <c r="F5" s="10"/>
      <c r="G5" s="9"/>
      <c r="H5" s="10"/>
      <c r="I5" s="11"/>
    </row>
    <row r="6" spans="1:9" ht="15" customHeight="1">
      <c r="A6" s="8" t="s">
        <v>8</v>
      </c>
      <c r="B6" s="8"/>
      <c r="C6" s="9">
        <f>'Stavební rozpočet'!C6</f>
        <v>0</v>
      </c>
      <c r="D6" s="9"/>
      <c r="E6" s="10" t="s">
        <v>9</v>
      </c>
      <c r="F6" s="12" t="s">
        <v>10</v>
      </c>
      <c r="G6" s="12"/>
      <c r="H6" s="10" t="s">
        <v>3</v>
      </c>
      <c r="I6" s="13">
        <v>123456789</v>
      </c>
    </row>
    <row r="7" spans="1:9" ht="15" customHeight="1">
      <c r="A7" s="8"/>
      <c r="B7" s="8"/>
      <c r="C7" s="9"/>
      <c r="D7" s="9"/>
      <c r="E7" s="10"/>
      <c r="F7" s="10"/>
      <c r="G7" s="12"/>
      <c r="H7" s="10"/>
      <c r="I7" s="13"/>
    </row>
    <row r="8" spans="1:9" ht="15" customHeight="1">
      <c r="A8" s="8" t="s">
        <v>11</v>
      </c>
      <c r="B8" s="8"/>
      <c r="C8" s="9">
        <f>'Stavební rozpočet'!G4</f>
        <v>0</v>
      </c>
      <c r="D8" s="9"/>
      <c r="E8" s="10" t="s">
        <v>12</v>
      </c>
      <c r="F8" s="9">
        <f>'Stavební rozpočet'!G6</f>
        <v>0</v>
      </c>
      <c r="G8" s="9"/>
      <c r="H8" s="14" t="s">
        <v>13</v>
      </c>
      <c r="I8" s="15">
        <v>104</v>
      </c>
    </row>
    <row r="9" spans="1:9" ht="15" customHeight="1">
      <c r="A9" s="8"/>
      <c r="B9" s="8"/>
      <c r="C9" s="9"/>
      <c r="D9" s="9"/>
      <c r="E9" s="10"/>
      <c r="F9" s="10"/>
      <c r="G9" s="9"/>
      <c r="H9" s="14"/>
      <c r="I9" s="15"/>
    </row>
    <row r="10" spans="1:9" ht="15" customHeight="1">
      <c r="A10" s="16" t="s">
        <v>14</v>
      </c>
      <c r="B10" s="16"/>
      <c r="C10" s="17">
        <f>'Stavební rozpočet'!C8</f>
        <v>0</v>
      </c>
      <c r="D10" s="17"/>
      <c r="E10" s="18" t="s">
        <v>15</v>
      </c>
      <c r="F10" s="17">
        <f>'Stavební rozpočet'!J8</f>
        <v>0</v>
      </c>
      <c r="G10" s="17"/>
      <c r="H10" s="19" t="s">
        <v>16</v>
      </c>
      <c r="I10" s="20">
        <f>'Stavební rozpočet'!G8</f>
        <v>0</v>
      </c>
    </row>
    <row r="11" spans="1:9" ht="15" customHeight="1">
      <c r="A11" s="16"/>
      <c r="B11" s="16"/>
      <c r="C11" s="17"/>
      <c r="D11" s="17"/>
      <c r="E11" s="18"/>
      <c r="F11" s="18"/>
      <c r="G11" s="17"/>
      <c r="H11" s="19"/>
      <c r="I11" s="20"/>
    </row>
    <row r="12" spans="1:9" ht="22.5" customHeight="1">
      <c r="A12" s="21" t="s">
        <v>17</v>
      </c>
      <c r="B12" s="21"/>
      <c r="C12" s="21"/>
      <c r="D12" s="21"/>
      <c r="E12" s="21"/>
      <c r="F12" s="21"/>
      <c r="G12" s="21"/>
      <c r="H12" s="21"/>
      <c r="I12" s="21"/>
    </row>
    <row r="13" spans="1:9" ht="26.25" customHeight="1">
      <c r="A13" s="22" t="s">
        <v>18</v>
      </c>
      <c r="B13" s="23" t="s">
        <v>19</v>
      </c>
      <c r="C13" s="23"/>
      <c r="D13" s="24" t="s">
        <v>20</v>
      </c>
      <c r="E13" s="23" t="s">
        <v>21</v>
      </c>
      <c r="F13" s="23"/>
      <c r="G13" s="24" t="s">
        <v>22</v>
      </c>
      <c r="H13" s="23" t="s">
        <v>23</v>
      </c>
      <c r="I13" s="23"/>
    </row>
    <row r="14" spans="1:9" ht="15" customHeight="1">
      <c r="A14" s="25" t="s">
        <v>24</v>
      </c>
      <c r="B14" s="26" t="s">
        <v>25</v>
      </c>
      <c r="C14" s="27">
        <f>SUM('Stavební rozpočet'!AB12:AB125)</f>
        <v>0</v>
      </c>
      <c r="D14" s="26"/>
      <c r="E14" s="26"/>
      <c r="F14" s="27">
        <f>VORN!I15</f>
        <v>0</v>
      </c>
      <c r="G14" s="26" t="s">
        <v>26</v>
      </c>
      <c r="H14" s="26"/>
      <c r="I14" s="28">
        <f>VORN!I21</f>
        <v>0</v>
      </c>
    </row>
    <row r="15" spans="1:9" ht="15" customHeight="1">
      <c r="A15" s="29"/>
      <c r="B15" s="26" t="s">
        <v>27</v>
      </c>
      <c r="C15" s="27">
        <f>SUM('Stavební rozpočet'!AC12:AC125)</f>
        <v>0</v>
      </c>
      <c r="D15" s="26"/>
      <c r="E15" s="26"/>
      <c r="F15" s="27">
        <f>VORN!I16</f>
        <v>0</v>
      </c>
      <c r="G15" s="26" t="s">
        <v>28</v>
      </c>
      <c r="H15" s="26"/>
      <c r="I15" s="28">
        <f>VORN!I22</f>
        <v>0</v>
      </c>
    </row>
    <row r="16" spans="1:9" ht="15" customHeight="1">
      <c r="A16" s="25" t="s">
        <v>29</v>
      </c>
      <c r="B16" s="26" t="s">
        <v>25</v>
      </c>
      <c r="C16" s="27">
        <f>SUM('Stavební rozpočet'!AD12:AD125)</f>
        <v>0</v>
      </c>
      <c r="D16" s="26"/>
      <c r="E16" s="26"/>
      <c r="F16" s="27">
        <f>VORN!I17</f>
        <v>0</v>
      </c>
      <c r="G16" s="26" t="s">
        <v>30</v>
      </c>
      <c r="H16" s="26"/>
      <c r="I16" s="28">
        <f>VORN!I23</f>
        <v>0</v>
      </c>
    </row>
    <row r="17" spans="1:9" ht="15" customHeight="1">
      <c r="A17" s="29"/>
      <c r="B17" s="26" t="s">
        <v>27</v>
      </c>
      <c r="C17" s="27">
        <f>SUM('Stavební rozpočet'!AE12:AE125)</f>
        <v>0</v>
      </c>
      <c r="D17" s="26"/>
      <c r="E17" s="26"/>
      <c r="F17" s="28"/>
      <c r="G17" s="26" t="s">
        <v>31</v>
      </c>
      <c r="H17" s="26"/>
      <c r="I17" s="28">
        <f>VORN!I24</f>
        <v>0</v>
      </c>
    </row>
    <row r="18" spans="1:9" ht="15" customHeight="1">
      <c r="A18" s="25" t="s">
        <v>32</v>
      </c>
      <c r="B18" s="26" t="s">
        <v>25</v>
      </c>
      <c r="C18" s="27">
        <f>SUM('Stavební rozpočet'!AF12:AF125)</f>
        <v>0</v>
      </c>
      <c r="D18" s="26"/>
      <c r="E18" s="26"/>
      <c r="F18" s="28"/>
      <c r="G18" s="26" t="s">
        <v>33</v>
      </c>
      <c r="H18" s="26"/>
      <c r="I18" s="28">
        <f>VORN!I25</f>
        <v>0</v>
      </c>
    </row>
    <row r="19" spans="1:9" ht="15" customHeight="1">
      <c r="A19" s="29"/>
      <c r="B19" s="26" t="s">
        <v>27</v>
      </c>
      <c r="C19" s="27">
        <f>SUM('Stavební rozpočet'!AG12:AG125)</f>
        <v>0</v>
      </c>
      <c r="D19" s="26"/>
      <c r="E19" s="26"/>
      <c r="F19" s="28"/>
      <c r="G19" s="26"/>
      <c r="H19" s="26"/>
      <c r="I19" s="28"/>
    </row>
    <row r="20" spans="1:9" ht="15" customHeight="1">
      <c r="A20" s="29" t="s">
        <v>34</v>
      </c>
      <c r="B20" s="29"/>
      <c r="C20" s="27">
        <f>SUM('Stavební rozpočet'!AH12:AH125)</f>
        <v>0</v>
      </c>
      <c r="D20" s="26"/>
      <c r="E20" s="26"/>
      <c r="F20" s="28"/>
      <c r="G20" s="26"/>
      <c r="H20" s="26"/>
      <c r="I20" s="28"/>
    </row>
    <row r="21" spans="1:9" ht="15" customHeight="1">
      <c r="A21" s="25" t="s">
        <v>35</v>
      </c>
      <c r="B21" s="25"/>
      <c r="C21" s="30">
        <f>SUM('Stavební rozpočet'!Z12:Z125)</f>
        <v>0</v>
      </c>
      <c r="D21" s="31"/>
      <c r="E21" s="31"/>
      <c r="F21" s="32"/>
      <c r="G21" s="31"/>
      <c r="H21" s="31"/>
      <c r="I21" s="32"/>
    </row>
    <row r="22" spans="1:9" ht="16.5" customHeight="1">
      <c r="A22" s="33" t="s">
        <v>36</v>
      </c>
      <c r="B22" s="33"/>
      <c r="C22" s="34">
        <f>SUM(C14:C21)</f>
        <v>0</v>
      </c>
      <c r="D22" s="35" t="s">
        <v>37</v>
      </c>
      <c r="E22" s="35"/>
      <c r="F22" s="34">
        <f>SUM(F14:F21)</f>
        <v>0</v>
      </c>
      <c r="G22" s="35" t="s">
        <v>38</v>
      </c>
      <c r="H22" s="35"/>
      <c r="I22" s="34">
        <f>SUM(I14:I21)</f>
        <v>0</v>
      </c>
    </row>
    <row r="23" spans="4:9" ht="15" customHeight="1">
      <c r="D23" s="29" t="s">
        <v>39</v>
      </c>
      <c r="E23" s="29"/>
      <c r="F23" s="36">
        <v>0</v>
      </c>
      <c r="G23" s="37" t="s">
        <v>40</v>
      </c>
      <c r="H23" s="37"/>
      <c r="I23" s="27">
        <v>0</v>
      </c>
    </row>
    <row r="24" spans="7:9" ht="15" customHeight="1">
      <c r="G24" s="29" t="s">
        <v>41</v>
      </c>
      <c r="H24" s="29"/>
      <c r="I24" s="30">
        <f>vorn_sum</f>
        <v>0</v>
      </c>
    </row>
    <row r="25" spans="7:9" ht="15" customHeight="1">
      <c r="G25" s="29" t="s">
        <v>42</v>
      </c>
      <c r="H25" s="29"/>
      <c r="I25" s="34">
        <v>0</v>
      </c>
    </row>
    <row r="27" spans="1:3" ht="15" customHeight="1">
      <c r="A27" s="38" t="s">
        <v>43</v>
      </c>
      <c r="B27" s="38"/>
      <c r="C27" s="39">
        <f>SUM('Stavební rozpočet'!AJ12:AJ125)</f>
        <v>0</v>
      </c>
    </row>
    <row r="28" spans="1:9" ht="15" customHeight="1">
      <c r="A28" s="40" t="s">
        <v>44</v>
      </c>
      <c r="B28" s="40"/>
      <c r="C28" s="41">
        <f>SUM('Stavební rozpočet'!AK12:AK125)</f>
        <v>0</v>
      </c>
      <c r="D28" s="42" t="s">
        <v>45</v>
      </c>
      <c r="E28" s="42"/>
      <c r="F28" s="39">
        <f>ROUND(C28*(15/100),2)</f>
        <v>0</v>
      </c>
      <c r="G28" s="42" t="s">
        <v>46</v>
      </c>
      <c r="H28" s="42"/>
      <c r="I28" s="39">
        <f>SUM(C27:C29)</f>
        <v>0</v>
      </c>
    </row>
    <row r="29" spans="1:9" ht="15" customHeight="1">
      <c r="A29" s="40" t="s">
        <v>47</v>
      </c>
      <c r="B29" s="40"/>
      <c r="C29" s="41">
        <f>SUM('Stavební rozpočet'!AL12:AL125)+(F22+I22+F23+I23+I24+I25)</f>
        <v>0</v>
      </c>
      <c r="D29" s="43" t="s">
        <v>48</v>
      </c>
      <c r="E29" s="43"/>
      <c r="F29" s="41">
        <f>ROUND(C29*(21/100),2)</f>
        <v>0</v>
      </c>
      <c r="G29" s="43" t="s">
        <v>49</v>
      </c>
      <c r="H29" s="43"/>
      <c r="I29" s="41">
        <f>SUM(F28:F29)+I28</f>
        <v>0</v>
      </c>
    </row>
    <row r="31" spans="1:9" ht="15" customHeight="1">
      <c r="A31" s="44" t="s">
        <v>50</v>
      </c>
      <c r="B31" s="44"/>
      <c r="C31" s="44"/>
      <c r="D31" s="45" t="s">
        <v>51</v>
      </c>
      <c r="E31" s="45"/>
      <c r="F31" s="45"/>
      <c r="G31" s="45" t="s">
        <v>52</v>
      </c>
      <c r="H31" s="45"/>
      <c r="I31" s="45"/>
    </row>
    <row r="32" spans="1:9" ht="15" customHeight="1">
      <c r="A32" s="46"/>
      <c r="B32" s="46"/>
      <c r="C32" s="46"/>
      <c r="D32" s="47"/>
      <c r="E32" s="47"/>
      <c r="F32" s="47"/>
      <c r="G32" s="47"/>
      <c r="H32" s="47"/>
      <c r="I32" s="47"/>
    </row>
    <row r="33" spans="1:9" ht="15" customHeight="1">
      <c r="A33" s="46"/>
      <c r="B33" s="46"/>
      <c r="C33" s="46"/>
      <c r="D33" s="47"/>
      <c r="E33" s="47"/>
      <c r="F33" s="47"/>
      <c r="G33" s="47"/>
      <c r="H33" s="47"/>
      <c r="I33" s="47"/>
    </row>
    <row r="34" spans="1:9" ht="15" customHeight="1">
      <c r="A34" s="46"/>
      <c r="B34" s="46"/>
      <c r="C34" s="46"/>
      <c r="D34" s="47"/>
      <c r="E34" s="47"/>
      <c r="F34" s="47"/>
      <c r="G34" s="47"/>
      <c r="H34" s="47"/>
      <c r="I34" s="47"/>
    </row>
    <row r="35" spans="1:9" ht="15" customHeight="1">
      <c r="A35" s="48" t="s">
        <v>53</v>
      </c>
      <c r="B35" s="48"/>
      <c r="C35" s="48"/>
      <c r="D35" s="49" t="s">
        <v>53</v>
      </c>
      <c r="E35" s="49"/>
      <c r="F35" s="49"/>
      <c r="G35" s="49" t="s">
        <v>53</v>
      </c>
      <c r="H35" s="49"/>
      <c r="I35" s="49"/>
    </row>
    <row r="36" ht="15" customHeight="1">
      <c r="A36" s="50" t="s">
        <v>54</v>
      </c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 password="D675" sheet="1" selectLockedCells="1"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110236220472" footer="0.5118110236220472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8"/>
  <sheetViews>
    <sheetView showOutlineSymbols="0" zoomScale="110" zoomScaleNormal="110" workbookViewId="0" topLeftCell="A1">
      <pane ySplit="11" topLeftCell="A12" activePane="bottomLeft" state="frozen"/>
      <selection pane="topLeft" activeCell="A1" sqref="A1"/>
      <selection pane="bottomLeft" activeCell="J6" sqref="J6"/>
    </sheetView>
  </sheetViews>
  <sheetFormatPr defaultColWidth="9.33203125" defaultRowHeight="15" customHeight="1"/>
  <cols>
    <col min="1" max="1" width="4.66015625" style="1" customWidth="1"/>
    <col min="2" max="2" width="20.83203125" style="1" customWidth="1"/>
    <col min="3" max="3" width="1.66796875" style="1" customWidth="1"/>
    <col min="4" max="4" width="101.83203125" style="1" customWidth="1"/>
    <col min="5" max="6" width="14.16015625" style="1" customWidth="1"/>
    <col min="7" max="7" width="7.5" style="1" customWidth="1"/>
    <col min="8" max="8" width="15" style="1" customWidth="1"/>
    <col min="9" max="9" width="14" style="1" customWidth="1"/>
    <col min="10" max="12" width="18.33203125" style="1" customWidth="1"/>
    <col min="13" max="13" width="15.66015625" style="1" customWidth="1"/>
    <col min="14" max="24" width="14.16015625" style="0" customWidth="1"/>
    <col min="25" max="74" width="14.16015625" style="1" hidden="1" customWidth="1"/>
    <col min="75" max="16384" width="14.16015625" style="0" customWidth="1"/>
  </cols>
  <sheetData>
    <row r="1" spans="1:47" ht="54.75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AS1" s="52">
        <f>SUM(AJ1:AJ2)</f>
        <v>0</v>
      </c>
      <c r="AT1" s="52">
        <f>SUM(AK1:AK2)</f>
        <v>0</v>
      </c>
      <c r="AU1" s="52">
        <f>SUM(AL1:AL2)</f>
        <v>0</v>
      </c>
    </row>
    <row r="2" spans="1:13" ht="15" customHeight="1">
      <c r="A2" s="3" t="s">
        <v>1</v>
      </c>
      <c r="B2" s="3"/>
      <c r="C2" s="4" t="s">
        <v>56</v>
      </c>
      <c r="D2" s="4"/>
      <c r="E2" s="53" t="s">
        <v>57</v>
      </c>
      <c r="F2" s="53"/>
      <c r="G2" s="53" t="s">
        <v>58</v>
      </c>
      <c r="H2" s="53"/>
      <c r="I2" s="5" t="s">
        <v>2</v>
      </c>
      <c r="J2" s="54" t="s">
        <v>59</v>
      </c>
      <c r="K2" s="54"/>
      <c r="L2" s="54"/>
      <c r="M2" s="54"/>
    </row>
    <row r="3" spans="1:13" ht="15" customHeight="1">
      <c r="A3" s="3"/>
      <c r="B3" s="3"/>
      <c r="C3" s="4"/>
      <c r="D3" s="4"/>
      <c r="E3" s="53"/>
      <c r="F3" s="53"/>
      <c r="G3" s="53"/>
      <c r="H3" s="53"/>
      <c r="I3" s="5"/>
      <c r="J3" s="5"/>
      <c r="K3" s="54"/>
      <c r="L3" s="54"/>
      <c r="M3" s="54"/>
    </row>
    <row r="4" spans="1:13" ht="15" customHeight="1">
      <c r="A4" s="8" t="s">
        <v>5</v>
      </c>
      <c r="B4" s="8"/>
      <c r="C4" s="9" t="s">
        <v>60</v>
      </c>
      <c r="D4" s="9"/>
      <c r="E4" s="14" t="s">
        <v>11</v>
      </c>
      <c r="F4" s="14"/>
      <c r="G4" s="14" t="s">
        <v>61</v>
      </c>
      <c r="H4" s="14"/>
      <c r="I4" s="10" t="s">
        <v>6</v>
      </c>
      <c r="J4" s="55" t="s">
        <v>62</v>
      </c>
      <c r="K4" s="55"/>
      <c r="L4" s="55"/>
      <c r="M4" s="55"/>
    </row>
    <row r="5" spans="1:13" ht="15" customHeight="1">
      <c r="A5" s="8"/>
      <c r="B5" s="8"/>
      <c r="C5" s="9"/>
      <c r="D5" s="9"/>
      <c r="E5" s="14"/>
      <c r="F5" s="14"/>
      <c r="G5" s="14"/>
      <c r="H5" s="14"/>
      <c r="I5" s="10"/>
      <c r="J5" s="10"/>
      <c r="K5" s="55"/>
      <c r="L5" s="55"/>
      <c r="M5" s="55"/>
    </row>
    <row r="6" spans="1:13" ht="15" customHeight="1">
      <c r="A6" s="8" t="s">
        <v>8</v>
      </c>
      <c r="B6" s="8"/>
      <c r="C6" s="9" t="s">
        <v>63</v>
      </c>
      <c r="D6" s="9"/>
      <c r="E6" s="14" t="s">
        <v>12</v>
      </c>
      <c r="F6" s="14"/>
      <c r="G6" s="14" t="s">
        <v>64</v>
      </c>
      <c r="H6" s="14"/>
      <c r="I6" s="10" t="s">
        <v>9</v>
      </c>
      <c r="J6" s="56" t="s">
        <v>10</v>
      </c>
      <c r="K6" s="56"/>
      <c r="L6" s="56"/>
      <c r="M6" s="56"/>
    </row>
    <row r="7" spans="1:13" ht="15" customHeight="1">
      <c r="A7" s="8"/>
      <c r="B7" s="8"/>
      <c r="C7" s="9"/>
      <c r="D7" s="9"/>
      <c r="E7" s="14"/>
      <c r="F7" s="14"/>
      <c r="G7" s="14"/>
      <c r="H7" s="14"/>
      <c r="I7" s="10"/>
      <c r="J7" s="10"/>
      <c r="K7" s="56"/>
      <c r="L7" s="56"/>
      <c r="M7" s="56"/>
    </row>
    <row r="8" spans="1:13" ht="15" customHeight="1">
      <c r="A8" s="8" t="s">
        <v>14</v>
      </c>
      <c r="B8" s="8"/>
      <c r="C8" s="9" t="s">
        <v>65</v>
      </c>
      <c r="D8" s="9"/>
      <c r="E8" s="14" t="s">
        <v>66</v>
      </c>
      <c r="F8" s="14"/>
      <c r="G8" s="14" t="s">
        <v>67</v>
      </c>
      <c r="H8" s="14"/>
      <c r="I8" s="10" t="s">
        <v>15</v>
      </c>
      <c r="J8" s="55" t="s">
        <v>68</v>
      </c>
      <c r="K8" s="55"/>
      <c r="L8" s="55"/>
      <c r="M8" s="55"/>
    </row>
    <row r="9" spans="1:13" ht="15" customHeight="1">
      <c r="A9" s="8"/>
      <c r="B9" s="8"/>
      <c r="C9" s="9"/>
      <c r="D9" s="9"/>
      <c r="E9" s="14"/>
      <c r="F9" s="14"/>
      <c r="G9" s="14"/>
      <c r="H9" s="14"/>
      <c r="I9" s="10"/>
      <c r="J9" s="10"/>
      <c r="K9" s="55"/>
      <c r="L9" s="55"/>
      <c r="M9" s="55"/>
    </row>
    <row r="10" spans="1:64" ht="15" customHeight="1">
      <c r="A10" s="57" t="s">
        <v>69</v>
      </c>
      <c r="B10" s="58" t="s">
        <v>70</v>
      </c>
      <c r="C10" s="58" t="s">
        <v>71</v>
      </c>
      <c r="D10" s="58"/>
      <c r="E10" s="58"/>
      <c r="F10" s="58"/>
      <c r="G10" s="58" t="s">
        <v>72</v>
      </c>
      <c r="H10" s="59" t="s">
        <v>73</v>
      </c>
      <c r="I10" s="60" t="s">
        <v>74</v>
      </c>
      <c r="J10" s="61" t="s">
        <v>75</v>
      </c>
      <c r="K10" s="61"/>
      <c r="L10" s="61"/>
      <c r="M10" s="59" t="s">
        <v>76</v>
      </c>
      <c r="BK10" s="62" t="s">
        <v>77</v>
      </c>
      <c r="BL10" s="63" t="s">
        <v>78</v>
      </c>
    </row>
    <row r="11" spans="1:62" ht="15" customHeight="1">
      <c r="A11" s="64" t="s">
        <v>65</v>
      </c>
      <c r="B11" s="65" t="s">
        <v>65</v>
      </c>
      <c r="C11" s="66" t="s">
        <v>79</v>
      </c>
      <c r="D11" s="66"/>
      <c r="E11" s="66"/>
      <c r="F11" s="66"/>
      <c r="G11" s="65" t="s">
        <v>65</v>
      </c>
      <c r="H11" s="65" t="s">
        <v>65</v>
      </c>
      <c r="I11" s="67" t="s">
        <v>80</v>
      </c>
      <c r="J11" s="68" t="s">
        <v>81</v>
      </c>
      <c r="K11" s="69" t="s">
        <v>27</v>
      </c>
      <c r="L11" s="70" t="s">
        <v>82</v>
      </c>
      <c r="M11" s="69" t="s">
        <v>83</v>
      </c>
      <c r="Z11" s="62" t="s">
        <v>84</v>
      </c>
      <c r="AA11" s="62" t="s">
        <v>85</v>
      </c>
      <c r="AB11" s="62" t="s">
        <v>86</v>
      </c>
      <c r="AC11" s="62" t="s">
        <v>87</v>
      </c>
      <c r="AD11" s="62" t="s">
        <v>88</v>
      </c>
      <c r="AE11" s="62" t="s">
        <v>89</v>
      </c>
      <c r="AF11" s="62" t="s">
        <v>90</v>
      </c>
      <c r="AG11" s="62" t="s">
        <v>91</v>
      </c>
      <c r="AH11" s="62" t="s">
        <v>92</v>
      </c>
      <c r="BH11" s="62" t="s">
        <v>93</v>
      </c>
      <c r="BI11" s="62" t="s">
        <v>94</v>
      </c>
      <c r="BJ11" s="62" t="s">
        <v>95</v>
      </c>
    </row>
    <row r="12" spans="1:13" ht="15" customHeight="1">
      <c r="A12" s="71"/>
      <c r="B12" s="72"/>
      <c r="C12" s="72" t="s">
        <v>96</v>
      </c>
      <c r="D12" s="72"/>
      <c r="E12" s="72"/>
      <c r="F12" s="72"/>
      <c r="G12" s="73" t="s">
        <v>65</v>
      </c>
      <c r="H12" s="73" t="s">
        <v>65</v>
      </c>
      <c r="I12" s="73" t="s">
        <v>65</v>
      </c>
      <c r="J12" s="52">
        <f>J13+J15+J94+J98+J100+J102+J104+J106+J118</f>
        <v>0</v>
      </c>
      <c r="K12" s="52">
        <f>K13+K15+K94+K98+K100+K102+K104+K106+K118</f>
        <v>0</v>
      </c>
      <c r="L12" s="52">
        <f>L13+L15+L94+L98+L100+L102+L104+L106+L118</f>
        <v>0</v>
      </c>
      <c r="M12" s="74"/>
    </row>
    <row r="13" spans="1:47" ht="15" customHeight="1">
      <c r="A13" s="71"/>
      <c r="B13" s="72" t="s">
        <v>97</v>
      </c>
      <c r="C13" s="72" t="s">
        <v>98</v>
      </c>
      <c r="D13" s="72"/>
      <c r="E13" s="72"/>
      <c r="F13" s="72"/>
      <c r="G13" s="73" t="s">
        <v>65</v>
      </c>
      <c r="H13" s="73" t="s">
        <v>65</v>
      </c>
      <c r="I13" s="73" t="s">
        <v>65</v>
      </c>
      <c r="J13" s="52">
        <f>SUM(J14:J14)</f>
        <v>0</v>
      </c>
      <c r="K13" s="52">
        <f>SUM(K14:K14)</f>
        <v>0</v>
      </c>
      <c r="L13" s="52">
        <f>SUM(L14:L14)</f>
        <v>0</v>
      </c>
      <c r="M13" s="74"/>
      <c r="AI13" s="62" t="s">
        <v>99</v>
      </c>
      <c r="AS13" s="52">
        <f>SUM(AJ14:AJ14)</f>
        <v>0</v>
      </c>
      <c r="AT13" s="52">
        <f>SUM(AK14:AK14)</f>
        <v>0</v>
      </c>
      <c r="AU13" s="52">
        <f>SUM(AL14:AL14)</f>
        <v>0</v>
      </c>
    </row>
    <row r="14" spans="1:64" ht="15" customHeight="1">
      <c r="A14" s="75" t="s">
        <v>100</v>
      </c>
      <c r="B14" s="14" t="s">
        <v>101</v>
      </c>
      <c r="C14" s="14" t="s">
        <v>102</v>
      </c>
      <c r="D14" s="14"/>
      <c r="E14" s="14"/>
      <c r="F14" s="14"/>
      <c r="G14" s="14" t="s">
        <v>103</v>
      </c>
      <c r="H14" s="76">
        <v>2</v>
      </c>
      <c r="I14" s="77">
        <v>0</v>
      </c>
      <c r="J14" s="76">
        <f>H14*AO14</f>
        <v>0</v>
      </c>
      <c r="K14" s="76">
        <f>H14*AP14</f>
        <v>0</v>
      </c>
      <c r="L14" s="76">
        <f>H14*I14</f>
        <v>0</v>
      </c>
      <c r="M14" s="78" t="s">
        <v>104</v>
      </c>
      <c r="Z14" s="76">
        <f>IF(AQ14="5",BJ14,0)</f>
        <v>0</v>
      </c>
      <c r="AB14" s="76">
        <f>IF(AQ14="1",BH14,0)</f>
        <v>0</v>
      </c>
      <c r="AC14" s="76">
        <f>IF(AQ14="1",BI14,0)</f>
        <v>0</v>
      </c>
      <c r="AD14" s="76">
        <f>IF(AQ14="7",BH14,0)</f>
        <v>0</v>
      </c>
      <c r="AE14" s="76">
        <f>IF(AQ14="7",BI14,0)</f>
        <v>0</v>
      </c>
      <c r="AF14" s="76">
        <f>IF(AQ14="2",BH14,0)</f>
        <v>0</v>
      </c>
      <c r="AG14" s="76">
        <f>IF(AQ14="2",BI14,0)</f>
        <v>0</v>
      </c>
      <c r="AH14" s="76">
        <f>IF(AQ14="0",BJ14,0)</f>
        <v>0</v>
      </c>
      <c r="AI14" s="62" t="s">
        <v>99</v>
      </c>
      <c r="AJ14" s="76">
        <f>IF(AN14=0,L14,0)</f>
        <v>0</v>
      </c>
      <c r="AK14" s="76">
        <f>IF(AN14=15,L14,0)</f>
        <v>0</v>
      </c>
      <c r="AL14" s="76">
        <f>IF(AN14=21,L14,0)</f>
        <v>0</v>
      </c>
      <c r="AN14" s="76">
        <v>21</v>
      </c>
      <c r="AO14" s="76">
        <f>I14*0.665374638006929</f>
        <v>0</v>
      </c>
      <c r="AP14" s="76">
        <f>I14*(1-0.665374638006929)</f>
        <v>0</v>
      </c>
      <c r="AQ14" s="79" t="s">
        <v>105</v>
      </c>
      <c r="AV14" s="76">
        <f>AW14+AX14</f>
        <v>0</v>
      </c>
      <c r="AW14" s="76">
        <f>H14*AO14</f>
        <v>0</v>
      </c>
      <c r="AX14" s="76">
        <f>H14*AP14</f>
        <v>0</v>
      </c>
      <c r="AY14" s="79" t="s">
        <v>106</v>
      </c>
      <c r="AZ14" s="79" t="s">
        <v>107</v>
      </c>
      <c r="BA14" s="62" t="s">
        <v>108</v>
      </c>
      <c r="BC14" s="76">
        <f>AW14+AX14</f>
        <v>0</v>
      </c>
      <c r="BD14" s="76">
        <f>I14/(100-BE14)*100</f>
        <v>0</v>
      </c>
      <c r="BE14" s="76">
        <v>0</v>
      </c>
      <c r="BF14" s="76">
        <f>14</f>
        <v>14</v>
      </c>
      <c r="BH14" s="76">
        <f>H14*AO14</f>
        <v>0</v>
      </c>
      <c r="BI14" s="76">
        <f>H14*AP14</f>
        <v>0</v>
      </c>
      <c r="BJ14" s="76">
        <f>H14*I14</f>
        <v>0</v>
      </c>
      <c r="BK14" s="76"/>
      <c r="BL14" s="76">
        <v>713</v>
      </c>
    </row>
    <row r="15" spans="1:47" ht="15" customHeight="1">
      <c r="A15" s="71"/>
      <c r="B15" s="72" t="s">
        <v>109</v>
      </c>
      <c r="C15" s="72" t="s">
        <v>110</v>
      </c>
      <c r="D15" s="72"/>
      <c r="E15" s="72"/>
      <c r="F15" s="72"/>
      <c r="G15" s="73" t="s">
        <v>65</v>
      </c>
      <c r="H15" s="73" t="s">
        <v>65</v>
      </c>
      <c r="I15" s="73" t="s">
        <v>65</v>
      </c>
      <c r="J15" s="52">
        <f>SUM(J16:J93)</f>
        <v>0</v>
      </c>
      <c r="K15" s="52">
        <f>SUM(K16:K93)</f>
        <v>0</v>
      </c>
      <c r="L15" s="52">
        <f>SUM(L16:L93)</f>
        <v>0</v>
      </c>
      <c r="M15" s="74"/>
      <c r="AI15" s="62" t="s">
        <v>99</v>
      </c>
      <c r="AS15" s="52">
        <f>SUM(AJ16:AJ93)</f>
        <v>0</v>
      </c>
      <c r="AT15" s="52">
        <f>SUM(AK16:AK93)</f>
        <v>0</v>
      </c>
      <c r="AU15" s="52">
        <f>SUM(AL16:AL93)</f>
        <v>0</v>
      </c>
    </row>
    <row r="16" spans="1:64" ht="15" customHeight="1">
      <c r="A16" s="75" t="s">
        <v>111</v>
      </c>
      <c r="B16" s="14" t="s">
        <v>112</v>
      </c>
      <c r="C16" s="14" t="s">
        <v>113</v>
      </c>
      <c r="D16" s="14"/>
      <c r="E16" s="14"/>
      <c r="F16" s="14"/>
      <c r="G16" s="14" t="s">
        <v>114</v>
      </c>
      <c r="H16" s="76">
        <v>55</v>
      </c>
      <c r="I16" s="77">
        <v>0</v>
      </c>
      <c r="J16" s="76">
        <f aca="true" t="shared" si="0" ref="J16:J93">H16*AO16</f>
        <v>0</v>
      </c>
      <c r="K16" s="76">
        <f aca="true" t="shared" si="1" ref="K16:K93">H16*AP16</f>
        <v>0</v>
      </c>
      <c r="L16" s="76">
        <f aca="true" t="shared" si="2" ref="L16:L93">H16*I16</f>
        <v>0</v>
      </c>
      <c r="M16" s="78" t="s">
        <v>104</v>
      </c>
      <c r="Z16" s="76">
        <f aca="true" t="shared" si="3" ref="Z16:Z93">IF(AQ16="5",BJ16,0)</f>
        <v>0</v>
      </c>
      <c r="AB16" s="76">
        <f aca="true" t="shared" si="4" ref="AB16:AB93">IF(AQ16="1",BH16,0)</f>
        <v>0</v>
      </c>
      <c r="AC16" s="76">
        <f aca="true" t="shared" si="5" ref="AC16:AC93">IF(AQ16="1",BI16,0)</f>
        <v>0</v>
      </c>
      <c r="AD16" s="76">
        <f aca="true" t="shared" si="6" ref="AD16:AD93">IF(AQ16="7",BH16,0)</f>
        <v>0</v>
      </c>
      <c r="AE16" s="76">
        <f aca="true" t="shared" si="7" ref="AE16:AE93">IF(AQ16="7",BI16,0)</f>
        <v>0</v>
      </c>
      <c r="AF16" s="76">
        <f aca="true" t="shared" si="8" ref="AF16:AF93">IF(AQ16="2",BH16,0)</f>
        <v>0</v>
      </c>
      <c r="AG16" s="76">
        <f aca="true" t="shared" si="9" ref="AG16:AG93">IF(AQ16="2",BI16,0)</f>
        <v>0</v>
      </c>
      <c r="AH16" s="76">
        <f aca="true" t="shared" si="10" ref="AH16:AH93">IF(AQ16="0",BJ16,0)</f>
        <v>0</v>
      </c>
      <c r="AI16" s="62" t="s">
        <v>99</v>
      </c>
      <c r="AJ16" s="76">
        <f aca="true" t="shared" si="11" ref="AJ16:AJ93">IF(AN16=0,L16,0)</f>
        <v>0</v>
      </c>
      <c r="AK16" s="76">
        <f aca="true" t="shared" si="12" ref="AK16:AK93">IF(AN16=15,L16,0)</f>
        <v>0</v>
      </c>
      <c r="AL16" s="76">
        <f aca="true" t="shared" si="13" ref="AL16:AL93">IF(AN16=21,L16,0)</f>
        <v>0</v>
      </c>
      <c r="AN16" s="76">
        <v>21</v>
      </c>
      <c r="AO16" s="76">
        <f aca="true" t="shared" si="14" ref="AO16:AO21">I16*0</f>
        <v>0</v>
      </c>
      <c r="AP16" s="76">
        <f aca="true" t="shared" si="15" ref="AP16:AP21">I16*(1-0)</f>
        <v>0</v>
      </c>
      <c r="AQ16" s="79" t="s">
        <v>105</v>
      </c>
      <c r="AV16" s="76">
        <f aca="true" t="shared" si="16" ref="AV16:AV93">AW16+AX16</f>
        <v>0</v>
      </c>
      <c r="AW16" s="76">
        <f aca="true" t="shared" si="17" ref="AW16:AW93">H16*AO16</f>
        <v>0</v>
      </c>
      <c r="AX16" s="76">
        <f aca="true" t="shared" si="18" ref="AX16:AX93">H16*AP16</f>
        <v>0</v>
      </c>
      <c r="AY16" s="79" t="s">
        <v>115</v>
      </c>
      <c r="AZ16" s="79" t="s">
        <v>116</v>
      </c>
      <c r="BA16" s="62" t="s">
        <v>108</v>
      </c>
      <c r="BC16" s="76">
        <f aca="true" t="shared" si="19" ref="BC16:BC93">AW16+AX16</f>
        <v>0</v>
      </c>
      <c r="BD16" s="76">
        <f aca="true" t="shared" si="20" ref="BD16:BD93">I16/(100-BE16)*100</f>
        <v>0</v>
      </c>
      <c r="BE16" s="76">
        <v>0</v>
      </c>
      <c r="BF16" s="76">
        <f>16</f>
        <v>16</v>
      </c>
      <c r="BH16" s="76">
        <f aca="true" t="shared" si="21" ref="BH16:BH93">H16*AO16</f>
        <v>0</v>
      </c>
      <c r="BI16" s="76">
        <f aca="true" t="shared" si="22" ref="BI16:BI93">H16*AP16</f>
        <v>0</v>
      </c>
      <c r="BJ16" s="76">
        <f aca="true" t="shared" si="23" ref="BJ16:BJ93">H16*I16</f>
        <v>0</v>
      </c>
      <c r="BK16" s="76"/>
      <c r="BL16" s="76">
        <v>722</v>
      </c>
    </row>
    <row r="17" spans="1:64" ht="15" customHeight="1">
      <c r="A17" s="75" t="s">
        <v>117</v>
      </c>
      <c r="B17" s="14" t="s">
        <v>118</v>
      </c>
      <c r="C17" s="14" t="s">
        <v>119</v>
      </c>
      <c r="D17" s="14"/>
      <c r="E17" s="14"/>
      <c r="F17" s="14"/>
      <c r="G17" s="14" t="s">
        <v>114</v>
      </c>
      <c r="H17" s="76">
        <v>110</v>
      </c>
      <c r="I17" s="77">
        <v>0</v>
      </c>
      <c r="J17" s="76">
        <f t="shared" si="0"/>
        <v>0</v>
      </c>
      <c r="K17" s="76">
        <f t="shared" si="1"/>
        <v>0</v>
      </c>
      <c r="L17" s="76">
        <f t="shared" si="2"/>
        <v>0</v>
      </c>
      <c r="M17" s="78" t="s">
        <v>104</v>
      </c>
      <c r="Z17" s="76">
        <f t="shared" si="3"/>
        <v>0</v>
      </c>
      <c r="AB17" s="76">
        <f t="shared" si="4"/>
        <v>0</v>
      </c>
      <c r="AC17" s="76">
        <f t="shared" si="5"/>
        <v>0</v>
      </c>
      <c r="AD17" s="76">
        <f t="shared" si="6"/>
        <v>0</v>
      </c>
      <c r="AE17" s="76">
        <f t="shared" si="7"/>
        <v>0</v>
      </c>
      <c r="AF17" s="76">
        <f t="shared" si="8"/>
        <v>0</v>
      </c>
      <c r="AG17" s="76">
        <f t="shared" si="9"/>
        <v>0</v>
      </c>
      <c r="AH17" s="76">
        <f t="shared" si="10"/>
        <v>0</v>
      </c>
      <c r="AI17" s="62" t="s">
        <v>99</v>
      </c>
      <c r="AJ17" s="76">
        <f t="shared" si="11"/>
        <v>0</v>
      </c>
      <c r="AK17" s="76">
        <f t="shared" si="12"/>
        <v>0</v>
      </c>
      <c r="AL17" s="76">
        <f t="shared" si="13"/>
        <v>0</v>
      </c>
      <c r="AN17" s="76">
        <v>21</v>
      </c>
      <c r="AO17" s="76">
        <f t="shared" si="14"/>
        <v>0</v>
      </c>
      <c r="AP17" s="76">
        <f t="shared" si="15"/>
        <v>0</v>
      </c>
      <c r="AQ17" s="79" t="s">
        <v>105</v>
      </c>
      <c r="AV17" s="76">
        <f t="shared" si="16"/>
        <v>0</v>
      </c>
      <c r="AW17" s="76">
        <f t="shared" si="17"/>
        <v>0</v>
      </c>
      <c r="AX17" s="76">
        <f t="shared" si="18"/>
        <v>0</v>
      </c>
      <c r="AY17" s="79" t="s">
        <v>115</v>
      </c>
      <c r="AZ17" s="79" t="s">
        <v>116</v>
      </c>
      <c r="BA17" s="62" t="s">
        <v>108</v>
      </c>
      <c r="BC17" s="76">
        <f t="shared" si="19"/>
        <v>0</v>
      </c>
      <c r="BD17" s="76">
        <f t="shared" si="20"/>
        <v>0</v>
      </c>
      <c r="BE17" s="76">
        <v>0</v>
      </c>
      <c r="BF17" s="76">
        <f>17</f>
        <v>17</v>
      </c>
      <c r="BH17" s="76">
        <f t="shared" si="21"/>
        <v>0</v>
      </c>
      <c r="BI17" s="76">
        <f t="shared" si="22"/>
        <v>0</v>
      </c>
      <c r="BJ17" s="76">
        <f t="shared" si="23"/>
        <v>0</v>
      </c>
      <c r="BK17" s="76"/>
      <c r="BL17" s="76">
        <v>722</v>
      </c>
    </row>
    <row r="18" spans="1:64" ht="15" customHeight="1">
      <c r="A18" s="75" t="s">
        <v>120</v>
      </c>
      <c r="B18" s="14" t="s">
        <v>121</v>
      </c>
      <c r="C18" s="14" t="s">
        <v>122</v>
      </c>
      <c r="D18" s="14"/>
      <c r="E18" s="14"/>
      <c r="F18" s="14"/>
      <c r="G18" s="14" t="s">
        <v>114</v>
      </c>
      <c r="H18" s="76">
        <v>26</v>
      </c>
      <c r="I18" s="77">
        <v>0</v>
      </c>
      <c r="J18" s="76">
        <f t="shared" si="0"/>
        <v>0</v>
      </c>
      <c r="K18" s="76">
        <f t="shared" si="1"/>
        <v>0</v>
      </c>
      <c r="L18" s="76">
        <f t="shared" si="2"/>
        <v>0</v>
      </c>
      <c r="M18" s="78" t="s">
        <v>104</v>
      </c>
      <c r="Z18" s="76">
        <f t="shared" si="3"/>
        <v>0</v>
      </c>
      <c r="AB18" s="76">
        <f t="shared" si="4"/>
        <v>0</v>
      </c>
      <c r="AC18" s="76">
        <f t="shared" si="5"/>
        <v>0</v>
      </c>
      <c r="AD18" s="76">
        <f t="shared" si="6"/>
        <v>0</v>
      </c>
      <c r="AE18" s="76">
        <f t="shared" si="7"/>
        <v>0</v>
      </c>
      <c r="AF18" s="76">
        <f t="shared" si="8"/>
        <v>0</v>
      </c>
      <c r="AG18" s="76">
        <f t="shared" si="9"/>
        <v>0</v>
      </c>
      <c r="AH18" s="76">
        <f t="shared" si="10"/>
        <v>0</v>
      </c>
      <c r="AI18" s="62" t="s">
        <v>99</v>
      </c>
      <c r="AJ18" s="76">
        <f t="shared" si="11"/>
        <v>0</v>
      </c>
      <c r="AK18" s="76">
        <f t="shared" si="12"/>
        <v>0</v>
      </c>
      <c r="AL18" s="76">
        <f t="shared" si="13"/>
        <v>0</v>
      </c>
      <c r="AN18" s="76">
        <v>21</v>
      </c>
      <c r="AO18" s="76">
        <f t="shared" si="14"/>
        <v>0</v>
      </c>
      <c r="AP18" s="76">
        <f t="shared" si="15"/>
        <v>0</v>
      </c>
      <c r="AQ18" s="79" t="s">
        <v>105</v>
      </c>
      <c r="AV18" s="76">
        <f t="shared" si="16"/>
        <v>0</v>
      </c>
      <c r="AW18" s="76">
        <f t="shared" si="17"/>
        <v>0</v>
      </c>
      <c r="AX18" s="76">
        <f t="shared" si="18"/>
        <v>0</v>
      </c>
      <c r="AY18" s="79" t="s">
        <v>115</v>
      </c>
      <c r="AZ18" s="79" t="s">
        <v>116</v>
      </c>
      <c r="BA18" s="62" t="s">
        <v>108</v>
      </c>
      <c r="BC18" s="76">
        <f t="shared" si="19"/>
        <v>0</v>
      </c>
      <c r="BD18" s="76">
        <f t="shared" si="20"/>
        <v>0</v>
      </c>
      <c r="BE18" s="76">
        <v>0</v>
      </c>
      <c r="BF18" s="76">
        <f>18</f>
        <v>18</v>
      </c>
      <c r="BH18" s="76">
        <f t="shared" si="21"/>
        <v>0</v>
      </c>
      <c r="BI18" s="76">
        <f t="shared" si="22"/>
        <v>0</v>
      </c>
      <c r="BJ18" s="76">
        <f t="shared" si="23"/>
        <v>0</v>
      </c>
      <c r="BK18" s="76"/>
      <c r="BL18" s="76">
        <v>722</v>
      </c>
    </row>
    <row r="19" spans="1:64" ht="15" customHeight="1">
      <c r="A19" s="75" t="s">
        <v>123</v>
      </c>
      <c r="B19" s="14" t="s">
        <v>124</v>
      </c>
      <c r="C19" s="14" t="s">
        <v>125</v>
      </c>
      <c r="D19" s="14"/>
      <c r="E19" s="14"/>
      <c r="F19" s="14"/>
      <c r="G19" s="14" t="s">
        <v>114</v>
      </c>
      <c r="H19" s="76">
        <v>13</v>
      </c>
      <c r="I19" s="77">
        <v>0</v>
      </c>
      <c r="J19" s="76">
        <f t="shared" si="0"/>
        <v>0</v>
      </c>
      <c r="K19" s="76">
        <f t="shared" si="1"/>
        <v>0</v>
      </c>
      <c r="L19" s="76">
        <f t="shared" si="2"/>
        <v>0</v>
      </c>
      <c r="M19" s="78" t="s">
        <v>104</v>
      </c>
      <c r="Z19" s="76">
        <f t="shared" si="3"/>
        <v>0</v>
      </c>
      <c r="AB19" s="76">
        <f t="shared" si="4"/>
        <v>0</v>
      </c>
      <c r="AC19" s="76">
        <f t="shared" si="5"/>
        <v>0</v>
      </c>
      <c r="AD19" s="76">
        <f t="shared" si="6"/>
        <v>0</v>
      </c>
      <c r="AE19" s="76">
        <f t="shared" si="7"/>
        <v>0</v>
      </c>
      <c r="AF19" s="76">
        <f t="shared" si="8"/>
        <v>0</v>
      </c>
      <c r="AG19" s="76">
        <f t="shared" si="9"/>
        <v>0</v>
      </c>
      <c r="AH19" s="76">
        <f t="shared" si="10"/>
        <v>0</v>
      </c>
      <c r="AI19" s="62" t="s">
        <v>99</v>
      </c>
      <c r="AJ19" s="76">
        <f t="shared" si="11"/>
        <v>0</v>
      </c>
      <c r="AK19" s="76">
        <f t="shared" si="12"/>
        <v>0</v>
      </c>
      <c r="AL19" s="76">
        <f t="shared" si="13"/>
        <v>0</v>
      </c>
      <c r="AN19" s="76">
        <v>21</v>
      </c>
      <c r="AO19" s="76">
        <f t="shared" si="14"/>
        <v>0</v>
      </c>
      <c r="AP19" s="76">
        <f t="shared" si="15"/>
        <v>0</v>
      </c>
      <c r="AQ19" s="79" t="s">
        <v>105</v>
      </c>
      <c r="AV19" s="76">
        <f t="shared" si="16"/>
        <v>0</v>
      </c>
      <c r="AW19" s="76">
        <f t="shared" si="17"/>
        <v>0</v>
      </c>
      <c r="AX19" s="76">
        <f t="shared" si="18"/>
        <v>0</v>
      </c>
      <c r="AY19" s="79" t="s">
        <v>115</v>
      </c>
      <c r="AZ19" s="79" t="s">
        <v>116</v>
      </c>
      <c r="BA19" s="62" t="s">
        <v>108</v>
      </c>
      <c r="BC19" s="76">
        <f t="shared" si="19"/>
        <v>0</v>
      </c>
      <c r="BD19" s="76">
        <f t="shared" si="20"/>
        <v>0</v>
      </c>
      <c r="BE19" s="76">
        <v>0</v>
      </c>
      <c r="BF19" s="76">
        <f>19</f>
        <v>19</v>
      </c>
      <c r="BH19" s="76">
        <f t="shared" si="21"/>
        <v>0</v>
      </c>
      <c r="BI19" s="76">
        <f t="shared" si="22"/>
        <v>0</v>
      </c>
      <c r="BJ19" s="76">
        <f t="shared" si="23"/>
        <v>0</v>
      </c>
      <c r="BK19" s="76"/>
      <c r="BL19" s="76">
        <v>722</v>
      </c>
    </row>
    <row r="20" spans="1:64" ht="15" customHeight="1">
      <c r="A20" s="75" t="s">
        <v>126</v>
      </c>
      <c r="B20" s="14" t="s">
        <v>127</v>
      </c>
      <c r="C20" s="14" t="s">
        <v>128</v>
      </c>
      <c r="D20" s="14"/>
      <c r="E20" s="14"/>
      <c r="F20" s="14"/>
      <c r="G20" s="14" t="s">
        <v>103</v>
      </c>
      <c r="H20" s="76">
        <v>15</v>
      </c>
      <c r="I20" s="77">
        <v>0</v>
      </c>
      <c r="J20" s="76">
        <f t="shared" si="0"/>
        <v>0</v>
      </c>
      <c r="K20" s="76">
        <f t="shared" si="1"/>
        <v>0</v>
      </c>
      <c r="L20" s="76">
        <f t="shared" si="2"/>
        <v>0</v>
      </c>
      <c r="M20" s="78" t="s">
        <v>104</v>
      </c>
      <c r="Z20" s="76">
        <f t="shared" si="3"/>
        <v>0</v>
      </c>
      <c r="AB20" s="76">
        <f t="shared" si="4"/>
        <v>0</v>
      </c>
      <c r="AC20" s="76">
        <f t="shared" si="5"/>
        <v>0</v>
      </c>
      <c r="AD20" s="76">
        <f t="shared" si="6"/>
        <v>0</v>
      </c>
      <c r="AE20" s="76">
        <f t="shared" si="7"/>
        <v>0</v>
      </c>
      <c r="AF20" s="76">
        <f t="shared" si="8"/>
        <v>0</v>
      </c>
      <c r="AG20" s="76">
        <f t="shared" si="9"/>
        <v>0</v>
      </c>
      <c r="AH20" s="76">
        <f t="shared" si="10"/>
        <v>0</v>
      </c>
      <c r="AI20" s="62" t="s">
        <v>99</v>
      </c>
      <c r="AJ20" s="76">
        <f t="shared" si="11"/>
        <v>0</v>
      </c>
      <c r="AK20" s="76">
        <f t="shared" si="12"/>
        <v>0</v>
      </c>
      <c r="AL20" s="76">
        <f t="shared" si="13"/>
        <v>0</v>
      </c>
      <c r="AN20" s="76">
        <v>21</v>
      </c>
      <c r="AO20" s="76">
        <f t="shared" si="14"/>
        <v>0</v>
      </c>
      <c r="AP20" s="76">
        <f t="shared" si="15"/>
        <v>0</v>
      </c>
      <c r="AQ20" s="79" t="s">
        <v>105</v>
      </c>
      <c r="AV20" s="76">
        <f t="shared" si="16"/>
        <v>0</v>
      </c>
      <c r="AW20" s="76">
        <f t="shared" si="17"/>
        <v>0</v>
      </c>
      <c r="AX20" s="76">
        <f t="shared" si="18"/>
        <v>0</v>
      </c>
      <c r="AY20" s="79" t="s">
        <v>115</v>
      </c>
      <c r="AZ20" s="79" t="s">
        <v>116</v>
      </c>
      <c r="BA20" s="62" t="s">
        <v>108</v>
      </c>
      <c r="BC20" s="76">
        <f t="shared" si="19"/>
        <v>0</v>
      </c>
      <c r="BD20" s="76">
        <f t="shared" si="20"/>
        <v>0</v>
      </c>
      <c r="BE20" s="76">
        <v>0</v>
      </c>
      <c r="BF20" s="76">
        <f>20</f>
        <v>20</v>
      </c>
      <c r="BH20" s="76">
        <f t="shared" si="21"/>
        <v>0</v>
      </c>
      <c r="BI20" s="76">
        <f t="shared" si="22"/>
        <v>0</v>
      </c>
      <c r="BJ20" s="76">
        <f t="shared" si="23"/>
        <v>0</v>
      </c>
      <c r="BK20" s="76"/>
      <c r="BL20" s="76">
        <v>722</v>
      </c>
    </row>
    <row r="21" spans="1:64" ht="15" customHeight="1">
      <c r="A21" s="75" t="s">
        <v>105</v>
      </c>
      <c r="B21" s="14" t="s">
        <v>129</v>
      </c>
      <c r="C21" s="14" t="s">
        <v>130</v>
      </c>
      <c r="D21" s="14"/>
      <c r="E21" s="14"/>
      <c r="F21" s="14"/>
      <c r="G21" s="14" t="s">
        <v>103</v>
      </c>
      <c r="H21" s="76">
        <v>1</v>
      </c>
      <c r="I21" s="77">
        <v>0</v>
      </c>
      <c r="J21" s="76">
        <f t="shared" si="0"/>
        <v>0</v>
      </c>
      <c r="K21" s="76">
        <f t="shared" si="1"/>
        <v>0</v>
      </c>
      <c r="L21" s="76">
        <f t="shared" si="2"/>
        <v>0</v>
      </c>
      <c r="M21" s="78" t="s">
        <v>104</v>
      </c>
      <c r="Z21" s="76">
        <f t="shared" si="3"/>
        <v>0</v>
      </c>
      <c r="AB21" s="76">
        <f t="shared" si="4"/>
        <v>0</v>
      </c>
      <c r="AC21" s="76">
        <f t="shared" si="5"/>
        <v>0</v>
      </c>
      <c r="AD21" s="76">
        <f t="shared" si="6"/>
        <v>0</v>
      </c>
      <c r="AE21" s="76">
        <f t="shared" si="7"/>
        <v>0</v>
      </c>
      <c r="AF21" s="76">
        <f t="shared" si="8"/>
        <v>0</v>
      </c>
      <c r="AG21" s="76">
        <f t="shared" si="9"/>
        <v>0</v>
      </c>
      <c r="AH21" s="76">
        <f t="shared" si="10"/>
        <v>0</v>
      </c>
      <c r="AI21" s="62" t="s">
        <v>99</v>
      </c>
      <c r="AJ21" s="76">
        <f t="shared" si="11"/>
        <v>0</v>
      </c>
      <c r="AK21" s="76">
        <f t="shared" si="12"/>
        <v>0</v>
      </c>
      <c r="AL21" s="76">
        <f t="shared" si="13"/>
        <v>0</v>
      </c>
      <c r="AN21" s="76">
        <v>21</v>
      </c>
      <c r="AO21" s="76">
        <f t="shared" si="14"/>
        <v>0</v>
      </c>
      <c r="AP21" s="76">
        <f t="shared" si="15"/>
        <v>0</v>
      </c>
      <c r="AQ21" s="79" t="s">
        <v>105</v>
      </c>
      <c r="AV21" s="76">
        <f t="shared" si="16"/>
        <v>0</v>
      </c>
      <c r="AW21" s="76">
        <f t="shared" si="17"/>
        <v>0</v>
      </c>
      <c r="AX21" s="76">
        <f t="shared" si="18"/>
        <v>0</v>
      </c>
      <c r="AY21" s="79" t="s">
        <v>115</v>
      </c>
      <c r="AZ21" s="79" t="s">
        <v>116</v>
      </c>
      <c r="BA21" s="62" t="s">
        <v>108</v>
      </c>
      <c r="BC21" s="76">
        <f t="shared" si="19"/>
        <v>0</v>
      </c>
      <c r="BD21" s="76">
        <f t="shared" si="20"/>
        <v>0</v>
      </c>
      <c r="BE21" s="76">
        <v>0</v>
      </c>
      <c r="BF21" s="76">
        <f>21</f>
        <v>21</v>
      </c>
      <c r="BH21" s="76">
        <f t="shared" si="21"/>
        <v>0</v>
      </c>
      <c r="BI21" s="76">
        <f t="shared" si="22"/>
        <v>0</v>
      </c>
      <c r="BJ21" s="76">
        <f t="shared" si="23"/>
        <v>0</v>
      </c>
      <c r="BK21" s="76"/>
      <c r="BL21" s="76">
        <v>722</v>
      </c>
    </row>
    <row r="22" spans="1:64" ht="15" customHeight="1">
      <c r="A22" s="75" t="s">
        <v>131</v>
      </c>
      <c r="B22" s="14" t="s">
        <v>132</v>
      </c>
      <c r="C22" s="14" t="s">
        <v>133</v>
      </c>
      <c r="D22" s="14"/>
      <c r="E22" s="14"/>
      <c r="F22" s="14"/>
      <c r="G22" s="14" t="s">
        <v>114</v>
      </c>
      <c r="H22" s="76">
        <v>110</v>
      </c>
      <c r="I22" s="77">
        <v>0</v>
      </c>
      <c r="J22" s="76">
        <f t="shared" si="0"/>
        <v>0</v>
      </c>
      <c r="K22" s="76">
        <f t="shared" si="1"/>
        <v>0</v>
      </c>
      <c r="L22" s="76">
        <f t="shared" si="2"/>
        <v>0</v>
      </c>
      <c r="M22" s="78" t="s">
        <v>104</v>
      </c>
      <c r="Z22" s="76">
        <f t="shared" si="3"/>
        <v>0</v>
      </c>
      <c r="AB22" s="76">
        <f t="shared" si="4"/>
        <v>0</v>
      </c>
      <c r="AC22" s="76">
        <f t="shared" si="5"/>
        <v>0</v>
      </c>
      <c r="AD22" s="76">
        <f t="shared" si="6"/>
        <v>0</v>
      </c>
      <c r="AE22" s="76">
        <f t="shared" si="7"/>
        <v>0</v>
      </c>
      <c r="AF22" s="76">
        <f t="shared" si="8"/>
        <v>0</v>
      </c>
      <c r="AG22" s="76">
        <f t="shared" si="9"/>
        <v>0</v>
      </c>
      <c r="AH22" s="76">
        <f t="shared" si="10"/>
        <v>0</v>
      </c>
      <c r="AI22" s="62" t="s">
        <v>99</v>
      </c>
      <c r="AJ22" s="76">
        <f t="shared" si="11"/>
        <v>0</v>
      </c>
      <c r="AK22" s="76">
        <f t="shared" si="12"/>
        <v>0</v>
      </c>
      <c r="AL22" s="76">
        <f t="shared" si="13"/>
        <v>0</v>
      </c>
      <c r="AN22" s="76">
        <v>21</v>
      </c>
      <c r="AO22" s="76">
        <f>I22*0.879390427063988</f>
        <v>0</v>
      </c>
      <c r="AP22" s="76">
        <f>I22*(1-0.879390427063988)</f>
        <v>0</v>
      </c>
      <c r="AQ22" s="79" t="s">
        <v>105</v>
      </c>
      <c r="AV22" s="76">
        <f t="shared" si="16"/>
        <v>0</v>
      </c>
      <c r="AW22" s="76">
        <f t="shared" si="17"/>
        <v>0</v>
      </c>
      <c r="AX22" s="76">
        <f t="shared" si="18"/>
        <v>0</v>
      </c>
      <c r="AY22" s="79" t="s">
        <v>115</v>
      </c>
      <c r="AZ22" s="79" t="s">
        <v>116</v>
      </c>
      <c r="BA22" s="62" t="s">
        <v>108</v>
      </c>
      <c r="BC22" s="76">
        <f t="shared" si="19"/>
        <v>0</v>
      </c>
      <c r="BD22" s="76">
        <f t="shared" si="20"/>
        <v>0</v>
      </c>
      <c r="BE22" s="76">
        <v>0</v>
      </c>
      <c r="BF22" s="76">
        <f>22</f>
        <v>22</v>
      </c>
      <c r="BH22" s="76">
        <f t="shared" si="21"/>
        <v>0</v>
      </c>
      <c r="BI22" s="76">
        <f t="shared" si="22"/>
        <v>0</v>
      </c>
      <c r="BJ22" s="76">
        <f t="shared" si="23"/>
        <v>0</v>
      </c>
      <c r="BK22" s="76"/>
      <c r="BL22" s="76">
        <v>722</v>
      </c>
    </row>
    <row r="23" spans="1:64" ht="15" customHeight="1">
      <c r="A23" s="75" t="s">
        <v>134</v>
      </c>
      <c r="B23" s="14" t="s">
        <v>135</v>
      </c>
      <c r="C23" s="14" t="s">
        <v>136</v>
      </c>
      <c r="D23" s="14"/>
      <c r="E23" s="14"/>
      <c r="F23" s="14"/>
      <c r="G23" s="14" t="s">
        <v>114</v>
      </c>
      <c r="H23" s="76">
        <v>55</v>
      </c>
      <c r="I23" s="77">
        <v>0</v>
      </c>
      <c r="J23" s="76">
        <f t="shared" si="0"/>
        <v>0</v>
      </c>
      <c r="K23" s="76">
        <f t="shared" si="1"/>
        <v>0</v>
      </c>
      <c r="L23" s="76">
        <f t="shared" si="2"/>
        <v>0</v>
      </c>
      <c r="M23" s="78" t="s">
        <v>104</v>
      </c>
      <c r="Z23" s="76">
        <f t="shared" si="3"/>
        <v>0</v>
      </c>
      <c r="AB23" s="76">
        <f t="shared" si="4"/>
        <v>0</v>
      </c>
      <c r="AC23" s="76">
        <f t="shared" si="5"/>
        <v>0</v>
      </c>
      <c r="AD23" s="76">
        <f t="shared" si="6"/>
        <v>0</v>
      </c>
      <c r="AE23" s="76">
        <f t="shared" si="7"/>
        <v>0</v>
      </c>
      <c r="AF23" s="76">
        <f t="shared" si="8"/>
        <v>0</v>
      </c>
      <c r="AG23" s="76">
        <f t="shared" si="9"/>
        <v>0</v>
      </c>
      <c r="AH23" s="76">
        <f t="shared" si="10"/>
        <v>0</v>
      </c>
      <c r="AI23" s="62" t="s">
        <v>99</v>
      </c>
      <c r="AJ23" s="76">
        <f t="shared" si="11"/>
        <v>0</v>
      </c>
      <c r="AK23" s="76">
        <f t="shared" si="12"/>
        <v>0</v>
      </c>
      <c r="AL23" s="76">
        <f t="shared" si="13"/>
        <v>0</v>
      </c>
      <c r="AN23" s="76">
        <v>21</v>
      </c>
      <c r="AO23" s="76">
        <f>I23*0.835077647058823</f>
        <v>0</v>
      </c>
      <c r="AP23" s="76">
        <f>I23*(1-0.835077647058823)</f>
        <v>0</v>
      </c>
      <c r="AQ23" s="79" t="s">
        <v>105</v>
      </c>
      <c r="AV23" s="76">
        <f t="shared" si="16"/>
        <v>0</v>
      </c>
      <c r="AW23" s="76">
        <f t="shared" si="17"/>
        <v>0</v>
      </c>
      <c r="AX23" s="76">
        <f t="shared" si="18"/>
        <v>0</v>
      </c>
      <c r="AY23" s="79" t="s">
        <v>115</v>
      </c>
      <c r="AZ23" s="79" t="s">
        <v>116</v>
      </c>
      <c r="BA23" s="62" t="s">
        <v>108</v>
      </c>
      <c r="BC23" s="76">
        <f t="shared" si="19"/>
        <v>0</v>
      </c>
      <c r="BD23" s="76">
        <f t="shared" si="20"/>
        <v>0</v>
      </c>
      <c r="BE23" s="76">
        <v>0</v>
      </c>
      <c r="BF23" s="76">
        <f>23</f>
        <v>23</v>
      </c>
      <c r="BH23" s="76">
        <f t="shared" si="21"/>
        <v>0</v>
      </c>
      <c r="BI23" s="76">
        <f t="shared" si="22"/>
        <v>0</v>
      </c>
      <c r="BJ23" s="76">
        <f t="shared" si="23"/>
        <v>0</v>
      </c>
      <c r="BK23" s="76"/>
      <c r="BL23" s="76">
        <v>722</v>
      </c>
    </row>
    <row r="24" spans="1:64" ht="15" customHeight="1">
      <c r="A24" s="75" t="s">
        <v>137</v>
      </c>
      <c r="B24" s="14" t="s">
        <v>138</v>
      </c>
      <c r="C24" s="14" t="s">
        <v>139</v>
      </c>
      <c r="D24" s="14"/>
      <c r="E24" s="14"/>
      <c r="F24" s="14"/>
      <c r="G24" s="14" t="s">
        <v>114</v>
      </c>
      <c r="H24" s="76">
        <v>55</v>
      </c>
      <c r="I24" s="77">
        <v>0</v>
      </c>
      <c r="J24" s="76">
        <f t="shared" si="0"/>
        <v>0</v>
      </c>
      <c r="K24" s="76">
        <f t="shared" si="1"/>
        <v>0</v>
      </c>
      <c r="L24" s="76">
        <f t="shared" si="2"/>
        <v>0</v>
      </c>
      <c r="M24" s="78" t="s">
        <v>104</v>
      </c>
      <c r="Z24" s="76">
        <f t="shared" si="3"/>
        <v>0</v>
      </c>
      <c r="AB24" s="76">
        <f t="shared" si="4"/>
        <v>0</v>
      </c>
      <c r="AC24" s="76">
        <f t="shared" si="5"/>
        <v>0</v>
      </c>
      <c r="AD24" s="76">
        <f t="shared" si="6"/>
        <v>0</v>
      </c>
      <c r="AE24" s="76">
        <f t="shared" si="7"/>
        <v>0</v>
      </c>
      <c r="AF24" s="76">
        <f t="shared" si="8"/>
        <v>0</v>
      </c>
      <c r="AG24" s="76">
        <f t="shared" si="9"/>
        <v>0</v>
      </c>
      <c r="AH24" s="76">
        <f t="shared" si="10"/>
        <v>0</v>
      </c>
      <c r="AI24" s="62" t="s">
        <v>99</v>
      </c>
      <c r="AJ24" s="76">
        <f t="shared" si="11"/>
        <v>0</v>
      </c>
      <c r="AK24" s="76">
        <f t="shared" si="12"/>
        <v>0</v>
      </c>
      <c r="AL24" s="76">
        <f t="shared" si="13"/>
        <v>0</v>
      </c>
      <c r="AN24" s="76">
        <v>21</v>
      </c>
      <c r="AO24" s="76">
        <f>I24*0.771273486430063</f>
        <v>0</v>
      </c>
      <c r="AP24" s="76">
        <f>I24*(1-0.771273486430063)</f>
        <v>0</v>
      </c>
      <c r="AQ24" s="79" t="s">
        <v>105</v>
      </c>
      <c r="AV24" s="76">
        <f t="shared" si="16"/>
        <v>0</v>
      </c>
      <c r="AW24" s="76">
        <f t="shared" si="17"/>
        <v>0</v>
      </c>
      <c r="AX24" s="76">
        <f t="shared" si="18"/>
        <v>0</v>
      </c>
      <c r="AY24" s="79" t="s">
        <v>115</v>
      </c>
      <c r="AZ24" s="79" t="s">
        <v>116</v>
      </c>
      <c r="BA24" s="62" t="s">
        <v>108</v>
      </c>
      <c r="BC24" s="76">
        <f t="shared" si="19"/>
        <v>0</v>
      </c>
      <c r="BD24" s="76">
        <f t="shared" si="20"/>
        <v>0</v>
      </c>
      <c r="BE24" s="76">
        <v>0</v>
      </c>
      <c r="BF24" s="76">
        <f>24</f>
        <v>24</v>
      </c>
      <c r="BH24" s="76">
        <f t="shared" si="21"/>
        <v>0</v>
      </c>
      <c r="BI24" s="76">
        <f t="shared" si="22"/>
        <v>0</v>
      </c>
      <c r="BJ24" s="76">
        <f t="shared" si="23"/>
        <v>0</v>
      </c>
      <c r="BK24" s="76"/>
      <c r="BL24" s="76">
        <v>722</v>
      </c>
    </row>
    <row r="25" spans="1:64" ht="15" customHeight="1">
      <c r="A25" s="75" t="s">
        <v>140</v>
      </c>
      <c r="B25" s="14" t="s">
        <v>141</v>
      </c>
      <c r="C25" s="14" t="s">
        <v>142</v>
      </c>
      <c r="D25" s="14"/>
      <c r="E25" s="14"/>
      <c r="F25" s="14"/>
      <c r="G25" s="14" t="s">
        <v>114</v>
      </c>
      <c r="H25" s="76">
        <v>26</v>
      </c>
      <c r="I25" s="77">
        <v>0</v>
      </c>
      <c r="J25" s="76">
        <f t="shared" si="0"/>
        <v>0</v>
      </c>
      <c r="K25" s="76">
        <f t="shared" si="1"/>
        <v>0</v>
      </c>
      <c r="L25" s="76">
        <f t="shared" si="2"/>
        <v>0</v>
      </c>
      <c r="M25" s="78" t="s">
        <v>104</v>
      </c>
      <c r="Z25" s="76">
        <f t="shared" si="3"/>
        <v>0</v>
      </c>
      <c r="AB25" s="76">
        <f t="shared" si="4"/>
        <v>0</v>
      </c>
      <c r="AC25" s="76">
        <f t="shared" si="5"/>
        <v>0</v>
      </c>
      <c r="AD25" s="76">
        <f t="shared" si="6"/>
        <v>0</v>
      </c>
      <c r="AE25" s="76">
        <f t="shared" si="7"/>
        <v>0</v>
      </c>
      <c r="AF25" s="76">
        <f t="shared" si="8"/>
        <v>0</v>
      </c>
      <c r="AG25" s="76">
        <f t="shared" si="9"/>
        <v>0</v>
      </c>
      <c r="AH25" s="76">
        <f t="shared" si="10"/>
        <v>0</v>
      </c>
      <c r="AI25" s="62" t="s">
        <v>99</v>
      </c>
      <c r="AJ25" s="76">
        <f t="shared" si="11"/>
        <v>0</v>
      </c>
      <c r="AK25" s="76">
        <f t="shared" si="12"/>
        <v>0</v>
      </c>
      <c r="AL25" s="76">
        <f t="shared" si="13"/>
        <v>0</v>
      </c>
      <c r="AN25" s="76">
        <v>21</v>
      </c>
      <c r="AO25" s="76">
        <f>I25*0.72188622754491</f>
        <v>0</v>
      </c>
      <c r="AP25" s="76">
        <f>I25*(1-0.72188622754491)</f>
        <v>0</v>
      </c>
      <c r="AQ25" s="79" t="s">
        <v>105</v>
      </c>
      <c r="AV25" s="76">
        <f t="shared" si="16"/>
        <v>0</v>
      </c>
      <c r="AW25" s="76">
        <f t="shared" si="17"/>
        <v>0</v>
      </c>
      <c r="AX25" s="76">
        <f t="shared" si="18"/>
        <v>0</v>
      </c>
      <c r="AY25" s="79" t="s">
        <v>115</v>
      </c>
      <c r="AZ25" s="79" t="s">
        <v>116</v>
      </c>
      <c r="BA25" s="62" t="s">
        <v>108</v>
      </c>
      <c r="BC25" s="76">
        <f t="shared" si="19"/>
        <v>0</v>
      </c>
      <c r="BD25" s="76">
        <f t="shared" si="20"/>
        <v>0</v>
      </c>
      <c r="BE25" s="76">
        <v>0</v>
      </c>
      <c r="BF25" s="76">
        <f>25</f>
        <v>25</v>
      </c>
      <c r="BH25" s="76">
        <f t="shared" si="21"/>
        <v>0</v>
      </c>
      <c r="BI25" s="76">
        <f t="shared" si="22"/>
        <v>0</v>
      </c>
      <c r="BJ25" s="76">
        <f t="shared" si="23"/>
        <v>0</v>
      </c>
      <c r="BK25" s="76"/>
      <c r="BL25" s="76">
        <v>722</v>
      </c>
    </row>
    <row r="26" spans="1:64" ht="15" customHeight="1">
      <c r="A26" s="75" t="s">
        <v>143</v>
      </c>
      <c r="B26" s="14" t="s">
        <v>144</v>
      </c>
      <c r="C26" s="14" t="s">
        <v>145</v>
      </c>
      <c r="D26" s="14"/>
      <c r="E26" s="14"/>
      <c r="F26" s="14"/>
      <c r="G26" s="14" t="s">
        <v>114</v>
      </c>
      <c r="H26" s="76">
        <v>13</v>
      </c>
      <c r="I26" s="77">
        <v>0</v>
      </c>
      <c r="J26" s="76">
        <f t="shared" si="0"/>
        <v>0</v>
      </c>
      <c r="K26" s="76">
        <f t="shared" si="1"/>
        <v>0</v>
      </c>
      <c r="L26" s="76">
        <f t="shared" si="2"/>
        <v>0</v>
      </c>
      <c r="M26" s="78" t="s">
        <v>104</v>
      </c>
      <c r="Z26" s="76">
        <f t="shared" si="3"/>
        <v>0</v>
      </c>
      <c r="AB26" s="76">
        <f t="shared" si="4"/>
        <v>0</v>
      </c>
      <c r="AC26" s="76">
        <f t="shared" si="5"/>
        <v>0</v>
      </c>
      <c r="AD26" s="76">
        <f t="shared" si="6"/>
        <v>0</v>
      </c>
      <c r="AE26" s="76">
        <f t="shared" si="7"/>
        <v>0</v>
      </c>
      <c r="AF26" s="76">
        <f t="shared" si="8"/>
        <v>0</v>
      </c>
      <c r="AG26" s="76">
        <f t="shared" si="9"/>
        <v>0</v>
      </c>
      <c r="AH26" s="76">
        <f t="shared" si="10"/>
        <v>0</v>
      </c>
      <c r="AI26" s="62" t="s">
        <v>99</v>
      </c>
      <c r="AJ26" s="76">
        <f t="shared" si="11"/>
        <v>0</v>
      </c>
      <c r="AK26" s="76">
        <f t="shared" si="12"/>
        <v>0</v>
      </c>
      <c r="AL26" s="76">
        <f t="shared" si="13"/>
        <v>0</v>
      </c>
      <c r="AN26" s="76">
        <v>21</v>
      </c>
      <c r="AO26" s="76">
        <f>I26*0.725562347188264</f>
        <v>0</v>
      </c>
      <c r="AP26" s="76">
        <f>I26*(1-0.725562347188264)</f>
        <v>0</v>
      </c>
      <c r="AQ26" s="79" t="s">
        <v>105</v>
      </c>
      <c r="AV26" s="76">
        <f t="shared" si="16"/>
        <v>0</v>
      </c>
      <c r="AW26" s="76">
        <f t="shared" si="17"/>
        <v>0</v>
      </c>
      <c r="AX26" s="76">
        <f t="shared" si="18"/>
        <v>0</v>
      </c>
      <c r="AY26" s="79" t="s">
        <v>115</v>
      </c>
      <c r="AZ26" s="79" t="s">
        <v>116</v>
      </c>
      <c r="BA26" s="62" t="s">
        <v>108</v>
      </c>
      <c r="BC26" s="76">
        <f t="shared" si="19"/>
        <v>0</v>
      </c>
      <c r="BD26" s="76">
        <f t="shared" si="20"/>
        <v>0</v>
      </c>
      <c r="BE26" s="76">
        <v>0</v>
      </c>
      <c r="BF26" s="76">
        <f>26</f>
        <v>26</v>
      </c>
      <c r="BH26" s="76">
        <f t="shared" si="21"/>
        <v>0</v>
      </c>
      <c r="BI26" s="76">
        <f t="shared" si="22"/>
        <v>0</v>
      </c>
      <c r="BJ26" s="76">
        <f t="shared" si="23"/>
        <v>0</v>
      </c>
      <c r="BK26" s="76"/>
      <c r="BL26" s="76">
        <v>722</v>
      </c>
    </row>
    <row r="27" spans="1:64" ht="15" customHeight="1">
      <c r="A27" s="75" t="s">
        <v>146</v>
      </c>
      <c r="B27" s="14" t="s">
        <v>147</v>
      </c>
      <c r="C27" s="14" t="s">
        <v>148</v>
      </c>
      <c r="D27" s="14"/>
      <c r="E27" s="14"/>
      <c r="F27" s="14"/>
      <c r="G27" s="14" t="s">
        <v>114</v>
      </c>
      <c r="H27" s="76">
        <v>13</v>
      </c>
      <c r="I27" s="77">
        <v>0</v>
      </c>
      <c r="J27" s="76">
        <f t="shared" si="0"/>
        <v>0</v>
      </c>
      <c r="K27" s="76">
        <f t="shared" si="1"/>
        <v>0</v>
      </c>
      <c r="L27" s="76">
        <f t="shared" si="2"/>
        <v>0</v>
      </c>
      <c r="M27" s="78" t="s">
        <v>104</v>
      </c>
      <c r="Z27" s="76">
        <f t="shared" si="3"/>
        <v>0</v>
      </c>
      <c r="AB27" s="76">
        <f t="shared" si="4"/>
        <v>0</v>
      </c>
      <c r="AC27" s="76">
        <f t="shared" si="5"/>
        <v>0</v>
      </c>
      <c r="AD27" s="76">
        <f t="shared" si="6"/>
        <v>0</v>
      </c>
      <c r="AE27" s="76">
        <f t="shared" si="7"/>
        <v>0</v>
      </c>
      <c r="AF27" s="76">
        <f t="shared" si="8"/>
        <v>0</v>
      </c>
      <c r="AG27" s="76">
        <f t="shared" si="9"/>
        <v>0</v>
      </c>
      <c r="AH27" s="76">
        <f t="shared" si="10"/>
        <v>0</v>
      </c>
      <c r="AI27" s="62" t="s">
        <v>99</v>
      </c>
      <c r="AJ27" s="76">
        <f t="shared" si="11"/>
        <v>0</v>
      </c>
      <c r="AK27" s="76">
        <f t="shared" si="12"/>
        <v>0</v>
      </c>
      <c r="AL27" s="76">
        <f t="shared" si="13"/>
        <v>0</v>
      </c>
      <c r="AN27" s="76">
        <v>21</v>
      </c>
      <c r="AO27" s="76">
        <f>I27*0.643511029411765</f>
        <v>0</v>
      </c>
      <c r="AP27" s="76">
        <f>I27*(1-0.643511029411765)</f>
        <v>0</v>
      </c>
      <c r="AQ27" s="79" t="s">
        <v>105</v>
      </c>
      <c r="AV27" s="76">
        <f t="shared" si="16"/>
        <v>0</v>
      </c>
      <c r="AW27" s="76">
        <f t="shared" si="17"/>
        <v>0</v>
      </c>
      <c r="AX27" s="76">
        <f t="shared" si="18"/>
        <v>0</v>
      </c>
      <c r="AY27" s="79" t="s">
        <v>115</v>
      </c>
      <c r="AZ27" s="79" t="s">
        <v>116</v>
      </c>
      <c r="BA27" s="62" t="s">
        <v>108</v>
      </c>
      <c r="BC27" s="76">
        <f t="shared" si="19"/>
        <v>0</v>
      </c>
      <c r="BD27" s="76">
        <f t="shared" si="20"/>
        <v>0</v>
      </c>
      <c r="BE27" s="76">
        <v>0</v>
      </c>
      <c r="BF27" s="76">
        <f>27</f>
        <v>27</v>
      </c>
      <c r="BH27" s="76">
        <f t="shared" si="21"/>
        <v>0</v>
      </c>
      <c r="BI27" s="76">
        <f t="shared" si="22"/>
        <v>0</v>
      </c>
      <c r="BJ27" s="76">
        <f t="shared" si="23"/>
        <v>0</v>
      </c>
      <c r="BK27" s="76"/>
      <c r="BL27" s="76">
        <v>722</v>
      </c>
    </row>
    <row r="28" spans="1:64" ht="15" customHeight="1">
      <c r="A28" s="75" t="s">
        <v>149</v>
      </c>
      <c r="B28" s="14" t="s">
        <v>150</v>
      </c>
      <c r="C28" s="14" t="s">
        <v>151</v>
      </c>
      <c r="D28" s="14"/>
      <c r="E28" s="14"/>
      <c r="F28" s="14"/>
      <c r="G28" s="14" t="s">
        <v>114</v>
      </c>
      <c r="H28" s="76">
        <v>110</v>
      </c>
      <c r="I28" s="77">
        <v>0</v>
      </c>
      <c r="J28" s="76">
        <f t="shared" si="0"/>
        <v>0</v>
      </c>
      <c r="K28" s="76">
        <f t="shared" si="1"/>
        <v>0</v>
      </c>
      <c r="L28" s="76">
        <f t="shared" si="2"/>
        <v>0</v>
      </c>
      <c r="M28" s="78" t="s">
        <v>104</v>
      </c>
      <c r="Z28" s="76">
        <f t="shared" si="3"/>
        <v>0</v>
      </c>
      <c r="AB28" s="76">
        <f t="shared" si="4"/>
        <v>0</v>
      </c>
      <c r="AC28" s="76">
        <f t="shared" si="5"/>
        <v>0</v>
      </c>
      <c r="AD28" s="76">
        <f t="shared" si="6"/>
        <v>0</v>
      </c>
      <c r="AE28" s="76">
        <f t="shared" si="7"/>
        <v>0</v>
      </c>
      <c r="AF28" s="76">
        <f t="shared" si="8"/>
        <v>0</v>
      </c>
      <c r="AG28" s="76">
        <f t="shared" si="9"/>
        <v>0</v>
      </c>
      <c r="AH28" s="76">
        <f t="shared" si="10"/>
        <v>0</v>
      </c>
      <c r="AI28" s="62" t="s">
        <v>99</v>
      </c>
      <c r="AJ28" s="76">
        <f t="shared" si="11"/>
        <v>0</v>
      </c>
      <c r="AK28" s="76">
        <f t="shared" si="12"/>
        <v>0</v>
      </c>
      <c r="AL28" s="76">
        <f t="shared" si="13"/>
        <v>0</v>
      </c>
      <c r="AN28" s="76">
        <v>21</v>
      </c>
      <c r="AO28" s="76">
        <f>I28*0.0678006142215922</f>
        <v>0</v>
      </c>
      <c r="AP28" s="76">
        <f>I28*(1-0.0678006142215922)</f>
        <v>0</v>
      </c>
      <c r="AQ28" s="79" t="s">
        <v>105</v>
      </c>
      <c r="AV28" s="76">
        <f t="shared" si="16"/>
        <v>0</v>
      </c>
      <c r="AW28" s="76">
        <f t="shared" si="17"/>
        <v>0</v>
      </c>
      <c r="AX28" s="76">
        <f t="shared" si="18"/>
        <v>0</v>
      </c>
      <c r="AY28" s="79" t="s">
        <v>115</v>
      </c>
      <c r="AZ28" s="79" t="s">
        <v>116</v>
      </c>
      <c r="BA28" s="62" t="s">
        <v>108</v>
      </c>
      <c r="BC28" s="76">
        <f t="shared" si="19"/>
        <v>0</v>
      </c>
      <c r="BD28" s="76">
        <f t="shared" si="20"/>
        <v>0</v>
      </c>
      <c r="BE28" s="76">
        <v>0</v>
      </c>
      <c r="BF28" s="76">
        <f>28</f>
        <v>28</v>
      </c>
      <c r="BH28" s="76">
        <f t="shared" si="21"/>
        <v>0</v>
      </c>
      <c r="BI28" s="76">
        <f t="shared" si="22"/>
        <v>0</v>
      </c>
      <c r="BJ28" s="76">
        <f t="shared" si="23"/>
        <v>0</v>
      </c>
      <c r="BK28" s="76"/>
      <c r="BL28" s="76">
        <v>722</v>
      </c>
    </row>
    <row r="29" spans="1:64" ht="15" customHeight="1">
      <c r="A29" s="75" t="s">
        <v>152</v>
      </c>
      <c r="B29" s="14" t="s">
        <v>153</v>
      </c>
      <c r="C29" s="14" t="s">
        <v>154</v>
      </c>
      <c r="D29" s="14"/>
      <c r="E29" s="14"/>
      <c r="F29" s="14"/>
      <c r="G29" s="14" t="s">
        <v>114</v>
      </c>
      <c r="H29" s="76">
        <v>55</v>
      </c>
      <c r="I29" s="77">
        <v>0</v>
      </c>
      <c r="J29" s="76">
        <f t="shared" si="0"/>
        <v>0</v>
      </c>
      <c r="K29" s="76">
        <f t="shared" si="1"/>
        <v>0</v>
      </c>
      <c r="L29" s="76">
        <f t="shared" si="2"/>
        <v>0</v>
      </c>
      <c r="M29" s="78" t="s">
        <v>104</v>
      </c>
      <c r="Z29" s="76">
        <f t="shared" si="3"/>
        <v>0</v>
      </c>
      <c r="AB29" s="76">
        <f t="shared" si="4"/>
        <v>0</v>
      </c>
      <c r="AC29" s="76">
        <f t="shared" si="5"/>
        <v>0</v>
      </c>
      <c r="AD29" s="76">
        <f t="shared" si="6"/>
        <v>0</v>
      </c>
      <c r="AE29" s="76">
        <f t="shared" si="7"/>
        <v>0</v>
      </c>
      <c r="AF29" s="76">
        <f t="shared" si="8"/>
        <v>0</v>
      </c>
      <c r="AG29" s="76">
        <f t="shared" si="9"/>
        <v>0</v>
      </c>
      <c r="AH29" s="76">
        <f t="shared" si="10"/>
        <v>0</v>
      </c>
      <c r="AI29" s="62" t="s">
        <v>99</v>
      </c>
      <c r="AJ29" s="76">
        <f t="shared" si="11"/>
        <v>0</v>
      </c>
      <c r="AK29" s="76">
        <f t="shared" si="12"/>
        <v>0</v>
      </c>
      <c r="AL29" s="76">
        <f t="shared" si="13"/>
        <v>0</v>
      </c>
      <c r="AN29" s="76">
        <v>21</v>
      </c>
      <c r="AO29" s="76">
        <f>I29*0.0702857142857143</f>
        <v>0</v>
      </c>
      <c r="AP29" s="76">
        <f>I29*(1-0.0702857142857143)</f>
        <v>0</v>
      </c>
      <c r="AQ29" s="79" t="s">
        <v>105</v>
      </c>
      <c r="AV29" s="76">
        <f t="shared" si="16"/>
        <v>0</v>
      </c>
      <c r="AW29" s="76">
        <f t="shared" si="17"/>
        <v>0</v>
      </c>
      <c r="AX29" s="76">
        <f t="shared" si="18"/>
        <v>0</v>
      </c>
      <c r="AY29" s="79" t="s">
        <v>115</v>
      </c>
      <c r="AZ29" s="79" t="s">
        <v>116</v>
      </c>
      <c r="BA29" s="62" t="s">
        <v>108</v>
      </c>
      <c r="BC29" s="76">
        <f t="shared" si="19"/>
        <v>0</v>
      </c>
      <c r="BD29" s="76">
        <f t="shared" si="20"/>
        <v>0</v>
      </c>
      <c r="BE29" s="76">
        <v>0</v>
      </c>
      <c r="BF29" s="76">
        <f>29</f>
        <v>29</v>
      </c>
      <c r="BH29" s="76">
        <f t="shared" si="21"/>
        <v>0</v>
      </c>
      <c r="BI29" s="76">
        <f t="shared" si="22"/>
        <v>0</v>
      </c>
      <c r="BJ29" s="76">
        <f t="shared" si="23"/>
        <v>0</v>
      </c>
      <c r="BK29" s="76"/>
      <c r="BL29" s="76">
        <v>722</v>
      </c>
    </row>
    <row r="30" spans="1:64" ht="15" customHeight="1">
      <c r="A30" s="75" t="s">
        <v>155</v>
      </c>
      <c r="B30" s="14" t="s">
        <v>156</v>
      </c>
      <c r="C30" s="14" t="s">
        <v>157</v>
      </c>
      <c r="D30" s="14"/>
      <c r="E30" s="14"/>
      <c r="F30" s="14"/>
      <c r="G30" s="14" t="s">
        <v>114</v>
      </c>
      <c r="H30" s="76">
        <v>55</v>
      </c>
      <c r="I30" s="77">
        <v>0</v>
      </c>
      <c r="J30" s="76">
        <f t="shared" si="0"/>
        <v>0</v>
      </c>
      <c r="K30" s="76">
        <f t="shared" si="1"/>
        <v>0</v>
      </c>
      <c r="L30" s="76">
        <f t="shared" si="2"/>
        <v>0</v>
      </c>
      <c r="M30" s="78" t="s">
        <v>104</v>
      </c>
      <c r="Z30" s="76">
        <f t="shared" si="3"/>
        <v>0</v>
      </c>
      <c r="AB30" s="76">
        <f t="shared" si="4"/>
        <v>0</v>
      </c>
      <c r="AC30" s="76">
        <f t="shared" si="5"/>
        <v>0</v>
      </c>
      <c r="AD30" s="76">
        <f t="shared" si="6"/>
        <v>0</v>
      </c>
      <c r="AE30" s="76">
        <f t="shared" si="7"/>
        <v>0</v>
      </c>
      <c r="AF30" s="76">
        <f t="shared" si="8"/>
        <v>0</v>
      </c>
      <c r="AG30" s="76">
        <f t="shared" si="9"/>
        <v>0</v>
      </c>
      <c r="AH30" s="76">
        <f t="shared" si="10"/>
        <v>0</v>
      </c>
      <c r="AI30" s="62" t="s">
        <v>99</v>
      </c>
      <c r="AJ30" s="76">
        <f t="shared" si="11"/>
        <v>0</v>
      </c>
      <c r="AK30" s="76">
        <f t="shared" si="12"/>
        <v>0</v>
      </c>
      <c r="AL30" s="76">
        <f t="shared" si="13"/>
        <v>0</v>
      </c>
      <c r="AN30" s="76">
        <v>21</v>
      </c>
      <c r="AO30" s="76">
        <f>I30*0.0835922330097087</f>
        <v>0</v>
      </c>
      <c r="AP30" s="76">
        <f>I30*(1-0.0835922330097087)</f>
        <v>0</v>
      </c>
      <c r="AQ30" s="79" t="s">
        <v>105</v>
      </c>
      <c r="AV30" s="76">
        <f t="shared" si="16"/>
        <v>0</v>
      </c>
      <c r="AW30" s="76">
        <f t="shared" si="17"/>
        <v>0</v>
      </c>
      <c r="AX30" s="76">
        <f t="shared" si="18"/>
        <v>0</v>
      </c>
      <c r="AY30" s="79" t="s">
        <v>115</v>
      </c>
      <c r="AZ30" s="79" t="s">
        <v>116</v>
      </c>
      <c r="BA30" s="62" t="s">
        <v>108</v>
      </c>
      <c r="BC30" s="76">
        <f t="shared" si="19"/>
        <v>0</v>
      </c>
      <c r="BD30" s="76">
        <f t="shared" si="20"/>
        <v>0</v>
      </c>
      <c r="BE30" s="76">
        <v>0</v>
      </c>
      <c r="BF30" s="76">
        <f>30</f>
        <v>30</v>
      </c>
      <c r="BH30" s="76">
        <f t="shared" si="21"/>
        <v>0</v>
      </c>
      <c r="BI30" s="76">
        <f t="shared" si="22"/>
        <v>0</v>
      </c>
      <c r="BJ30" s="76">
        <f t="shared" si="23"/>
        <v>0</v>
      </c>
      <c r="BK30" s="76"/>
      <c r="BL30" s="76">
        <v>722</v>
      </c>
    </row>
    <row r="31" spans="1:64" ht="15" customHeight="1">
      <c r="A31" s="75" t="s">
        <v>158</v>
      </c>
      <c r="B31" s="14" t="s">
        <v>159</v>
      </c>
      <c r="C31" s="14" t="s">
        <v>160</v>
      </c>
      <c r="D31" s="14"/>
      <c r="E31" s="14"/>
      <c r="F31" s="14"/>
      <c r="G31" s="14" t="s">
        <v>114</v>
      </c>
      <c r="H31" s="76">
        <v>26</v>
      </c>
      <c r="I31" s="77">
        <v>0</v>
      </c>
      <c r="J31" s="76">
        <f t="shared" si="0"/>
        <v>0</v>
      </c>
      <c r="K31" s="76">
        <f t="shared" si="1"/>
        <v>0</v>
      </c>
      <c r="L31" s="76">
        <f t="shared" si="2"/>
        <v>0</v>
      </c>
      <c r="M31" s="78" t="s">
        <v>104</v>
      </c>
      <c r="Z31" s="76">
        <f t="shared" si="3"/>
        <v>0</v>
      </c>
      <c r="AB31" s="76">
        <f t="shared" si="4"/>
        <v>0</v>
      </c>
      <c r="AC31" s="76">
        <f t="shared" si="5"/>
        <v>0</v>
      </c>
      <c r="AD31" s="76">
        <f t="shared" si="6"/>
        <v>0</v>
      </c>
      <c r="AE31" s="76">
        <f t="shared" si="7"/>
        <v>0</v>
      </c>
      <c r="AF31" s="76">
        <f t="shared" si="8"/>
        <v>0</v>
      </c>
      <c r="AG31" s="76">
        <f t="shared" si="9"/>
        <v>0</v>
      </c>
      <c r="AH31" s="76">
        <f t="shared" si="10"/>
        <v>0</v>
      </c>
      <c r="AI31" s="62" t="s">
        <v>99</v>
      </c>
      <c r="AJ31" s="76">
        <f t="shared" si="11"/>
        <v>0</v>
      </c>
      <c r="AK31" s="76">
        <f t="shared" si="12"/>
        <v>0</v>
      </c>
      <c r="AL31" s="76">
        <f t="shared" si="13"/>
        <v>0</v>
      </c>
      <c r="AN31" s="76">
        <v>21</v>
      </c>
      <c r="AO31" s="76">
        <f>I31*0.0870576339737108</f>
        <v>0</v>
      </c>
      <c r="AP31" s="76">
        <f>I31*(1-0.0870576339737108)</f>
        <v>0</v>
      </c>
      <c r="AQ31" s="79" t="s">
        <v>105</v>
      </c>
      <c r="AV31" s="76">
        <f t="shared" si="16"/>
        <v>0</v>
      </c>
      <c r="AW31" s="76">
        <f t="shared" si="17"/>
        <v>0</v>
      </c>
      <c r="AX31" s="76">
        <f t="shared" si="18"/>
        <v>0</v>
      </c>
      <c r="AY31" s="79" t="s">
        <v>115</v>
      </c>
      <c r="AZ31" s="79" t="s">
        <v>116</v>
      </c>
      <c r="BA31" s="62" t="s">
        <v>108</v>
      </c>
      <c r="BC31" s="76">
        <f t="shared" si="19"/>
        <v>0</v>
      </c>
      <c r="BD31" s="76">
        <f t="shared" si="20"/>
        <v>0</v>
      </c>
      <c r="BE31" s="76">
        <v>0</v>
      </c>
      <c r="BF31" s="76">
        <f>31</f>
        <v>31</v>
      </c>
      <c r="BH31" s="76">
        <f t="shared" si="21"/>
        <v>0</v>
      </c>
      <c r="BI31" s="76">
        <f t="shared" si="22"/>
        <v>0</v>
      </c>
      <c r="BJ31" s="76">
        <f t="shared" si="23"/>
        <v>0</v>
      </c>
      <c r="BK31" s="76"/>
      <c r="BL31" s="76">
        <v>722</v>
      </c>
    </row>
    <row r="32" spans="1:64" ht="15" customHeight="1">
      <c r="A32" s="75" t="s">
        <v>161</v>
      </c>
      <c r="B32" s="14" t="s">
        <v>162</v>
      </c>
      <c r="C32" s="14" t="s">
        <v>163</v>
      </c>
      <c r="D32" s="14"/>
      <c r="E32" s="14"/>
      <c r="F32" s="14"/>
      <c r="G32" s="14" t="s">
        <v>114</v>
      </c>
      <c r="H32" s="76">
        <v>13</v>
      </c>
      <c r="I32" s="77">
        <v>0</v>
      </c>
      <c r="J32" s="76">
        <f t="shared" si="0"/>
        <v>0</v>
      </c>
      <c r="K32" s="76">
        <f t="shared" si="1"/>
        <v>0</v>
      </c>
      <c r="L32" s="76">
        <f t="shared" si="2"/>
        <v>0</v>
      </c>
      <c r="M32" s="78" t="s">
        <v>104</v>
      </c>
      <c r="Z32" s="76">
        <f t="shared" si="3"/>
        <v>0</v>
      </c>
      <c r="AB32" s="76">
        <f t="shared" si="4"/>
        <v>0</v>
      </c>
      <c r="AC32" s="76">
        <f t="shared" si="5"/>
        <v>0</v>
      </c>
      <c r="AD32" s="76">
        <f t="shared" si="6"/>
        <v>0</v>
      </c>
      <c r="AE32" s="76">
        <f t="shared" si="7"/>
        <v>0</v>
      </c>
      <c r="AF32" s="76">
        <f t="shared" si="8"/>
        <v>0</v>
      </c>
      <c r="AG32" s="76">
        <f t="shared" si="9"/>
        <v>0</v>
      </c>
      <c r="AH32" s="76">
        <f t="shared" si="10"/>
        <v>0</v>
      </c>
      <c r="AI32" s="62" t="s">
        <v>99</v>
      </c>
      <c r="AJ32" s="76">
        <f t="shared" si="11"/>
        <v>0</v>
      </c>
      <c r="AK32" s="76">
        <f t="shared" si="12"/>
        <v>0</v>
      </c>
      <c r="AL32" s="76">
        <f t="shared" si="13"/>
        <v>0</v>
      </c>
      <c r="AN32" s="76">
        <v>21</v>
      </c>
      <c r="AO32" s="76">
        <f>I32*0.0881269191402252</f>
        <v>0</v>
      </c>
      <c r="AP32" s="76">
        <f>I32*(1-0.0881269191402252)</f>
        <v>0</v>
      </c>
      <c r="AQ32" s="79" t="s">
        <v>105</v>
      </c>
      <c r="AV32" s="76">
        <f t="shared" si="16"/>
        <v>0</v>
      </c>
      <c r="AW32" s="76">
        <f t="shared" si="17"/>
        <v>0</v>
      </c>
      <c r="AX32" s="76">
        <f t="shared" si="18"/>
        <v>0</v>
      </c>
      <c r="AY32" s="79" t="s">
        <v>115</v>
      </c>
      <c r="AZ32" s="79" t="s">
        <v>116</v>
      </c>
      <c r="BA32" s="62" t="s">
        <v>108</v>
      </c>
      <c r="BC32" s="76">
        <f t="shared" si="19"/>
        <v>0</v>
      </c>
      <c r="BD32" s="76">
        <f t="shared" si="20"/>
        <v>0</v>
      </c>
      <c r="BE32" s="76">
        <v>0</v>
      </c>
      <c r="BF32" s="76">
        <f>32</f>
        <v>32</v>
      </c>
      <c r="BH32" s="76">
        <f t="shared" si="21"/>
        <v>0</v>
      </c>
      <c r="BI32" s="76">
        <f t="shared" si="22"/>
        <v>0</v>
      </c>
      <c r="BJ32" s="76">
        <f t="shared" si="23"/>
        <v>0</v>
      </c>
      <c r="BK32" s="76"/>
      <c r="BL32" s="76">
        <v>722</v>
      </c>
    </row>
    <row r="33" spans="1:64" ht="15" customHeight="1">
      <c r="A33" s="75" t="s">
        <v>164</v>
      </c>
      <c r="B33" s="14" t="s">
        <v>165</v>
      </c>
      <c r="C33" s="14" t="s">
        <v>166</v>
      </c>
      <c r="D33" s="14"/>
      <c r="E33" s="14"/>
      <c r="F33" s="14"/>
      <c r="G33" s="14" t="s">
        <v>114</v>
      </c>
      <c r="H33" s="76">
        <v>13</v>
      </c>
      <c r="I33" s="77">
        <v>0</v>
      </c>
      <c r="J33" s="76">
        <f t="shared" si="0"/>
        <v>0</v>
      </c>
      <c r="K33" s="76">
        <f t="shared" si="1"/>
        <v>0</v>
      </c>
      <c r="L33" s="76">
        <f t="shared" si="2"/>
        <v>0</v>
      </c>
      <c r="M33" s="78" t="s">
        <v>104</v>
      </c>
      <c r="Z33" s="76">
        <f t="shared" si="3"/>
        <v>0</v>
      </c>
      <c r="AB33" s="76">
        <f t="shared" si="4"/>
        <v>0</v>
      </c>
      <c r="AC33" s="76">
        <f t="shared" si="5"/>
        <v>0</v>
      </c>
      <c r="AD33" s="76">
        <f t="shared" si="6"/>
        <v>0</v>
      </c>
      <c r="AE33" s="76">
        <f t="shared" si="7"/>
        <v>0</v>
      </c>
      <c r="AF33" s="76">
        <f t="shared" si="8"/>
        <v>0</v>
      </c>
      <c r="AG33" s="76">
        <f t="shared" si="9"/>
        <v>0</v>
      </c>
      <c r="AH33" s="76">
        <f t="shared" si="10"/>
        <v>0</v>
      </c>
      <c r="AI33" s="62" t="s">
        <v>99</v>
      </c>
      <c r="AJ33" s="76">
        <f t="shared" si="11"/>
        <v>0</v>
      </c>
      <c r="AK33" s="76">
        <f t="shared" si="12"/>
        <v>0</v>
      </c>
      <c r="AL33" s="76">
        <f t="shared" si="13"/>
        <v>0</v>
      </c>
      <c r="AN33" s="76">
        <v>21</v>
      </c>
      <c r="AO33" s="76">
        <f>I33*0.0902901785714286</f>
        <v>0</v>
      </c>
      <c r="AP33" s="76">
        <f>I33*(1-0.0902901785714286)</f>
        <v>0</v>
      </c>
      <c r="AQ33" s="79" t="s">
        <v>105</v>
      </c>
      <c r="AV33" s="76">
        <f t="shared" si="16"/>
        <v>0</v>
      </c>
      <c r="AW33" s="76">
        <f t="shared" si="17"/>
        <v>0</v>
      </c>
      <c r="AX33" s="76">
        <f t="shared" si="18"/>
        <v>0</v>
      </c>
      <c r="AY33" s="79" t="s">
        <v>115</v>
      </c>
      <c r="AZ33" s="79" t="s">
        <v>116</v>
      </c>
      <c r="BA33" s="62" t="s">
        <v>108</v>
      </c>
      <c r="BC33" s="76">
        <f t="shared" si="19"/>
        <v>0</v>
      </c>
      <c r="BD33" s="76">
        <f t="shared" si="20"/>
        <v>0</v>
      </c>
      <c r="BE33" s="76">
        <v>0</v>
      </c>
      <c r="BF33" s="76">
        <f>33</f>
        <v>33</v>
      </c>
      <c r="BH33" s="76">
        <f t="shared" si="21"/>
        <v>0</v>
      </c>
      <c r="BI33" s="76">
        <f t="shared" si="22"/>
        <v>0</v>
      </c>
      <c r="BJ33" s="76">
        <f t="shared" si="23"/>
        <v>0</v>
      </c>
      <c r="BK33" s="76"/>
      <c r="BL33" s="76">
        <v>722</v>
      </c>
    </row>
    <row r="34" spans="1:64" ht="15" customHeight="1">
      <c r="A34" s="75" t="s">
        <v>167</v>
      </c>
      <c r="B34" s="14" t="s">
        <v>168</v>
      </c>
      <c r="C34" s="14" t="s">
        <v>169</v>
      </c>
      <c r="D34" s="14"/>
      <c r="E34" s="14"/>
      <c r="F34" s="14"/>
      <c r="G34" s="14" t="s">
        <v>103</v>
      </c>
      <c r="H34" s="76">
        <v>4</v>
      </c>
      <c r="I34" s="77">
        <v>0</v>
      </c>
      <c r="J34" s="76">
        <f t="shared" si="0"/>
        <v>0</v>
      </c>
      <c r="K34" s="76">
        <f t="shared" si="1"/>
        <v>0</v>
      </c>
      <c r="L34" s="76">
        <f t="shared" si="2"/>
        <v>0</v>
      </c>
      <c r="M34" s="78" t="s">
        <v>104</v>
      </c>
      <c r="Z34" s="76">
        <f t="shared" si="3"/>
        <v>0</v>
      </c>
      <c r="AB34" s="76">
        <f t="shared" si="4"/>
        <v>0</v>
      </c>
      <c r="AC34" s="76">
        <f t="shared" si="5"/>
        <v>0</v>
      </c>
      <c r="AD34" s="76">
        <f t="shared" si="6"/>
        <v>0</v>
      </c>
      <c r="AE34" s="76">
        <f t="shared" si="7"/>
        <v>0</v>
      </c>
      <c r="AF34" s="76">
        <f t="shared" si="8"/>
        <v>0</v>
      </c>
      <c r="AG34" s="76">
        <f t="shared" si="9"/>
        <v>0</v>
      </c>
      <c r="AH34" s="76">
        <f t="shared" si="10"/>
        <v>0</v>
      </c>
      <c r="AI34" s="62" t="s">
        <v>99</v>
      </c>
      <c r="AJ34" s="76">
        <f t="shared" si="11"/>
        <v>0</v>
      </c>
      <c r="AK34" s="76">
        <f t="shared" si="12"/>
        <v>0</v>
      </c>
      <c r="AL34" s="76">
        <f t="shared" si="13"/>
        <v>0</v>
      </c>
      <c r="AN34" s="76">
        <v>21</v>
      </c>
      <c r="AO34" s="76">
        <f>I34*0.393497596153846</f>
        <v>0</v>
      </c>
      <c r="AP34" s="76">
        <f>I34*(1-0.393497596153846)</f>
        <v>0</v>
      </c>
      <c r="AQ34" s="79" t="s">
        <v>105</v>
      </c>
      <c r="AV34" s="76">
        <f t="shared" si="16"/>
        <v>0</v>
      </c>
      <c r="AW34" s="76">
        <f t="shared" si="17"/>
        <v>0</v>
      </c>
      <c r="AX34" s="76">
        <f t="shared" si="18"/>
        <v>0</v>
      </c>
      <c r="AY34" s="79" t="s">
        <v>115</v>
      </c>
      <c r="AZ34" s="79" t="s">
        <v>116</v>
      </c>
      <c r="BA34" s="62" t="s">
        <v>108</v>
      </c>
      <c r="BC34" s="76">
        <f t="shared" si="19"/>
        <v>0</v>
      </c>
      <c r="BD34" s="76">
        <f t="shared" si="20"/>
        <v>0</v>
      </c>
      <c r="BE34" s="76">
        <v>0</v>
      </c>
      <c r="BF34" s="76">
        <f>34</f>
        <v>34</v>
      </c>
      <c r="BH34" s="76">
        <f t="shared" si="21"/>
        <v>0</v>
      </c>
      <c r="BI34" s="76">
        <f t="shared" si="22"/>
        <v>0</v>
      </c>
      <c r="BJ34" s="76">
        <f t="shared" si="23"/>
        <v>0</v>
      </c>
      <c r="BK34" s="76"/>
      <c r="BL34" s="76">
        <v>722</v>
      </c>
    </row>
    <row r="35" spans="1:64" ht="15" customHeight="1">
      <c r="A35" s="75" t="s">
        <v>170</v>
      </c>
      <c r="B35" s="14" t="s">
        <v>171</v>
      </c>
      <c r="C35" s="14" t="s">
        <v>172</v>
      </c>
      <c r="D35" s="14"/>
      <c r="E35" s="14"/>
      <c r="F35" s="14"/>
      <c r="G35" s="14" t="s">
        <v>103</v>
      </c>
      <c r="H35" s="76">
        <v>1</v>
      </c>
      <c r="I35" s="77">
        <v>0</v>
      </c>
      <c r="J35" s="76">
        <f t="shared" si="0"/>
        <v>0</v>
      </c>
      <c r="K35" s="76">
        <f t="shared" si="1"/>
        <v>0</v>
      </c>
      <c r="L35" s="76">
        <f t="shared" si="2"/>
        <v>0</v>
      </c>
      <c r="M35" s="78" t="s">
        <v>104</v>
      </c>
      <c r="Z35" s="76">
        <f t="shared" si="3"/>
        <v>0</v>
      </c>
      <c r="AB35" s="76">
        <f t="shared" si="4"/>
        <v>0</v>
      </c>
      <c r="AC35" s="76">
        <f t="shared" si="5"/>
        <v>0</v>
      </c>
      <c r="AD35" s="76">
        <f t="shared" si="6"/>
        <v>0</v>
      </c>
      <c r="AE35" s="76">
        <f t="shared" si="7"/>
        <v>0</v>
      </c>
      <c r="AF35" s="76">
        <f t="shared" si="8"/>
        <v>0</v>
      </c>
      <c r="AG35" s="76">
        <f t="shared" si="9"/>
        <v>0</v>
      </c>
      <c r="AH35" s="76">
        <f t="shared" si="10"/>
        <v>0</v>
      </c>
      <c r="AI35" s="62" t="s">
        <v>99</v>
      </c>
      <c r="AJ35" s="76">
        <f t="shared" si="11"/>
        <v>0</v>
      </c>
      <c r="AK35" s="76">
        <f t="shared" si="12"/>
        <v>0</v>
      </c>
      <c r="AL35" s="76">
        <f t="shared" si="13"/>
        <v>0</v>
      </c>
      <c r="AN35" s="76">
        <v>21</v>
      </c>
      <c r="AO35" s="76">
        <f>I35*0.452026196127778</f>
        <v>0</v>
      </c>
      <c r="AP35" s="76">
        <f>I35*(1-0.452026196127778)</f>
        <v>0</v>
      </c>
      <c r="AQ35" s="79" t="s">
        <v>105</v>
      </c>
      <c r="AV35" s="76">
        <f t="shared" si="16"/>
        <v>0</v>
      </c>
      <c r="AW35" s="76">
        <f t="shared" si="17"/>
        <v>0</v>
      </c>
      <c r="AX35" s="76">
        <f t="shared" si="18"/>
        <v>0</v>
      </c>
      <c r="AY35" s="79" t="s">
        <v>115</v>
      </c>
      <c r="AZ35" s="79" t="s">
        <v>116</v>
      </c>
      <c r="BA35" s="62" t="s">
        <v>108</v>
      </c>
      <c r="BC35" s="76">
        <f t="shared" si="19"/>
        <v>0</v>
      </c>
      <c r="BD35" s="76">
        <f t="shared" si="20"/>
        <v>0</v>
      </c>
      <c r="BE35" s="76">
        <v>0</v>
      </c>
      <c r="BF35" s="76">
        <f>35</f>
        <v>35</v>
      </c>
      <c r="BH35" s="76">
        <f t="shared" si="21"/>
        <v>0</v>
      </c>
      <c r="BI35" s="76">
        <f t="shared" si="22"/>
        <v>0</v>
      </c>
      <c r="BJ35" s="76">
        <f t="shared" si="23"/>
        <v>0</v>
      </c>
      <c r="BK35" s="76"/>
      <c r="BL35" s="76">
        <v>722</v>
      </c>
    </row>
    <row r="36" spans="1:64" ht="15" customHeight="1">
      <c r="A36" s="75" t="s">
        <v>173</v>
      </c>
      <c r="B36" s="14" t="s">
        <v>174</v>
      </c>
      <c r="C36" s="14" t="s">
        <v>175</v>
      </c>
      <c r="D36" s="14"/>
      <c r="E36" s="14"/>
      <c r="F36" s="14"/>
      <c r="G36" s="14" t="s">
        <v>103</v>
      </c>
      <c r="H36" s="76">
        <v>3</v>
      </c>
      <c r="I36" s="77">
        <v>0</v>
      </c>
      <c r="J36" s="76">
        <f t="shared" si="0"/>
        <v>0</v>
      </c>
      <c r="K36" s="76">
        <f t="shared" si="1"/>
        <v>0</v>
      </c>
      <c r="L36" s="76">
        <f t="shared" si="2"/>
        <v>0</v>
      </c>
      <c r="M36" s="78" t="s">
        <v>104</v>
      </c>
      <c r="Z36" s="76">
        <f t="shared" si="3"/>
        <v>0</v>
      </c>
      <c r="AB36" s="76">
        <f t="shared" si="4"/>
        <v>0</v>
      </c>
      <c r="AC36" s="76">
        <f t="shared" si="5"/>
        <v>0</v>
      </c>
      <c r="AD36" s="76">
        <f t="shared" si="6"/>
        <v>0</v>
      </c>
      <c r="AE36" s="76">
        <f t="shared" si="7"/>
        <v>0</v>
      </c>
      <c r="AF36" s="76">
        <f t="shared" si="8"/>
        <v>0</v>
      </c>
      <c r="AG36" s="76">
        <f t="shared" si="9"/>
        <v>0</v>
      </c>
      <c r="AH36" s="76">
        <f t="shared" si="10"/>
        <v>0</v>
      </c>
      <c r="AI36" s="62" t="s">
        <v>99</v>
      </c>
      <c r="AJ36" s="76">
        <f t="shared" si="11"/>
        <v>0</v>
      </c>
      <c r="AK36" s="76">
        <f t="shared" si="12"/>
        <v>0</v>
      </c>
      <c r="AL36" s="76">
        <f t="shared" si="13"/>
        <v>0</v>
      </c>
      <c r="AN36" s="76">
        <v>21</v>
      </c>
      <c r="AO36" s="76">
        <f>I36*0.630911680911681</f>
        <v>0</v>
      </c>
      <c r="AP36" s="76">
        <f>I36*(1-0.630911680911681)</f>
        <v>0</v>
      </c>
      <c r="AQ36" s="79" t="s">
        <v>105</v>
      </c>
      <c r="AV36" s="76">
        <f t="shared" si="16"/>
        <v>0</v>
      </c>
      <c r="AW36" s="76">
        <f t="shared" si="17"/>
        <v>0</v>
      </c>
      <c r="AX36" s="76">
        <f t="shared" si="18"/>
        <v>0</v>
      </c>
      <c r="AY36" s="79" t="s">
        <v>115</v>
      </c>
      <c r="AZ36" s="79" t="s">
        <v>116</v>
      </c>
      <c r="BA36" s="62" t="s">
        <v>108</v>
      </c>
      <c r="BC36" s="76">
        <f t="shared" si="19"/>
        <v>0</v>
      </c>
      <c r="BD36" s="76">
        <f t="shared" si="20"/>
        <v>0</v>
      </c>
      <c r="BE36" s="76">
        <v>0</v>
      </c>
      <c r="BF36" s="76">
        <f>36</f>
        <v>36</v>
      </c>
      <c r="BH36" s="76">
        <f t="shared" si="21"/>
        <v>0</v>
      </c>
      <c r="BI36" s="76">
        <f t="shared" si="22"/>
        <v>0</v>
      </c>
      <c r="BJ36" s="76">
        <f t="shared" si="23"/>
        <v>0</v>
      </c>
      <c r="BK36" s="76"/>
      <c r="BL36" s="76">
        <v>722</v>
      </c>
    </row>
    <row r="37" spans="1:64" ht="15" customHeight="1">
      <c r="A37" s="75" t="s">
        <v>176</v>
      </c>
      <c r="B37" s="14" t="s">
        <v>177</v>
      </c>
      <c r="C37" s="14" t="s">
        <v>178</v>
      </c>
      <c r="D37" s="14"/>
      <c r="E37" s="14"/>
      <c r="F37" s="14"/>
      <c r="G37" s="14" t="s">
        <v>103</v>
      </c>
      <c r="H37" s="76">
        <v>3</v>
      </c>
      <c r="I37" s="77">
        <v>0</v>
      </c>
      <c r="J37" s="76">
        <f t="shared" si="0"/>
        <v>0</v>
      </c>
      <c r="K37" s="76">
        <f t="shared" si="1"/>
        <v>0</v>
      </c>
      <c r="L37" s="76">
        <f t="shared" si="2"/>
        <v>0</v>
      </c>
      <c r="M37" s="78" t="s">
        <v>104</v>
      </c>
      <c r="Z37" s="76">
        <f t="shared" si="3"/>
        <v>0</v>
      </c>
      <c r="AB37" s="76">
        <f t="shared" si="4"/>
        <v>0</v>
      </c>
      <c r="AC37" s="76">
        <f t="shared" si="5"/>
        <v>0</v>
      </c>
      <c r="AD37" s="76">
        <f t="shared" si="6"/>
        <v>0</v>
      </c>
      <c r="AE37" s="76">
        <f t="shared" si="7"/>
        <v>0</v>
      </c>
      <c r="AF37" s="76">
        <f t="shared" si="8"/>
        <v>0</v>
      </c>
      <c r="AG37" s="76">
        <f t="shared" si="9"/>
        <v>0</v>
      </c>
      <c r="AH37" s="76">
        <f t="shared" si="10"/>
        <v>0</v>
      </c>
      <c r="AI37" s="62" t="s">
        <v>99</v>
      </c>
      <c r="AJ37" s="76">
        <f t="shared" si="11"/>
        <v>0</v>
      </c>
      <c r="AK37" s="76">
        <f t="shared" si="12"/>
        <v>0</v>
      </c>
      <c r="AL37" s="76">
        <f t="shared" si="13"/>
        <v>0</v>
      </c>
      <c r="AN37" s="76">
        <v>21</v>
      </c>
      <c r="AO37" s="76">
        <f>I37*0.941228183439056</f>
        <v>0</v>
      </c>
      <c r="AP37" s="76">
        <f>I37*(1-0.941228183439056)</f>
        <v>0</v>
      </c>
      <c r="AQ37" s="79" t="s">
        <v>105</v>
      </c>
      <c r="AV37" s="76">
        <f t="shared" si="16"/>
        <v>0</v>
      </c>
      <c r="AW37" s="76">
        <f t="shared" si="17"/>
        <v>0</v>
      </c>
      <c r="AX37" s="76">
        <f t="shared" si="18"/>
        <v>0</v>
      </c>
      <c r="AY37" s="79" t="s">
        <v>115</v>
      </c>
      <c r="AZ37" s="79" t="s">
        <v>116</v>
      </c>
      <c r="BA37" s="62" t="s">
        <v>108</v>
      </c>
      <c r="BC37" s="76">
        <f t="shared" si="19"/>
        <v>0</v>
      </c>
      <c r="BD37" s="76">
        <f t="shared" si="20"/>
        <v>0</v>
      </c>
      <c r="BE37" s="76">
        <v>0</v>
      </c>
      <c r="BF37" s="76">
        <f>37</f>
        <v>37</v>
      </c>
      <c r="BH37" s="76">
        <f t="shared" si="21"/>
        <v>0</v>
      </c>
      <c r="BI37" s="76">
        <f t="shared" si="22"/>
        <v>0</v>
      </c>
      <c r="BJ37" s="76">
        <f t="shared" si="23"/>
        <v>0</v>
      </c>
      <c r="BK37" s="76"/>
      <c r="BL37" s="76">
        <v>722</v>
      </c>
    </row>
    <row r="38" spans="1:64" ht="15" customHeight="1">
      <c r="A38" s="75" t="s">
        <v>179</v>
      </c>
      <c r="B38" s="14" t="s">
        <v>180</v>
      </c>
      <c r="C38" s="14" t="s">
        <v>181</v>
      </c>
      <c r="D38" s="14"/>
      <c r="E38" s="14"/>
      <c r="F38" s="14"/>
      <c r="G38" s="14" t="s">
        <v>103</v>
      </c>
      <c r="H38" s="76">
        <v>3</v>
      </c>
      <c r="I38" s="77">
        <v>0</v>
      </c>
      <c r="J38" s="76">
        <f t="shared" si="0"/>
        <v>0</v>
      </c>
      <c r="K38" s="76">
        <f t="shared" si="1"/>
        <v>0</v>
      </c>
      <c r="L38" s="76">
        <f t="shared" si="2"/>
        <v>0</v>
      </c>
      <c r="M38" s="78" t="s">
        <v>104</v>
      </c>
      <c r="Z38" s="76">
        <f t="shared" si="3"/>
        <v>0</v>
      </c>
      <c r="AB38" s="76">
        <f t="shared" si="4"/>
        <v>0</v>
      </c>
      <c r="AC38" s="76">
        <f t="shared" si="5"/>
        <v>0</v>
      </c>
      <c r="AD38" s="76">
        <f t="shared" si="6"/>
        <v>0</v>
      </c>
      <c r="AE38" s="76">
        <f t="shared" si="7"/>
        <v>0</v>
      </c>
      <c r="AF38" s="76">
        <f t="shared" si="8"/>
        <v>0</v>
      </c>
      <c r="AG38" s="76">
        <f t="shared" si="9"/>
        <v>0</v>
      </c>
      <c r="AH38" s="76">
        <f t="shared" si="10"/>
        <v>0</v>
      </c>
      <c r="AI38" s="62" t="s">
        <v>99</v>
      </c>
      <c r="AJ38" s="76">
        <f t="shared" si="11"/>
        <v>0</v>
      </c>
      <c r="AK38" s="76">
        <f t="shared" si="12"/>
        <v>0</v>
      </c>
      <c r="AL38" s="76">
        <f t="shared" si="13"/>
        <v>0</v>
      </c>
      <c r="AN38" s="76">
        <v>21</v>
      </c>
      <c r="AO38" s="76">
        <f>I38*0.934534709193246</f>
        <v>0</v>
      </c>
      <c r="AP38" s="76">
        <f>I38*(1-0.934534709193246)</f>
        <v>0</v>
      </c>
      <c r="AQ38" s="79" t="s">
        <v>105</v>
      </c>
      <c r="AV38" s="76">
        <f t="shared" si="16"/>
        <v>0</v>
      </c>
      <c r="AW38" s="76">
        <f t="shared" si="17"/>
        <v>0</v>
      </c>
      <c r="AX38" s="76">
        <f t="shared" si="18"/>
        <v>0</v>
      </c>
      <c r="AY38" s="79" t="s">
        <v>115</v>
      </c>
      <c r="AZ38" s="79" t="s">
        <v>116</v>
      </c>
      <c r="BA38" s="62" t="s">
        <v>108</v>
      </c>
      <c r="BC38" s="76">
        <f t="shared" si="19"/>
        <v>0</v>
      </c>
      <c r="BD38" s="76">
        <f t="shared" si="20"/>
        <v>0</v>
      </c>
      <c r="BE38" s="76">
        <v>0</v>
      </c>
      <c r="BF38" s="76">
        <f>38</f>
        <v>38</v>
      </c>
      <c r="BH38" s="76">
        <f t="shared" si="21"/>
        <v>0</v>
      </c>
      <c r="BI38" s="76">
        <f t="shared" si="22"/>
        <v>0</v>
      </c>
      <c r="BJ38" s="76">
        <f t="shared" si="23"/>
        <v>0</v>
      </c>
      <c r="BK38" s="76"/>
      <c r="BL38" s="76">
        <v>722</v>
      </c>
    </row>
    <row r="39" spans="1:64" ht="15" customHeight="1">
      <c r="A39" s="75" t="s">
        <v>182</v>
      </c>
      <c r="B39" s="14" t="s">
        <v>183</v>
      </c>
      <c r="C39" s="14" t="s">
        <v>184</v>
      </c>
      <c r="D39" s="14"/>
      <c r="E39" s="14"/>
      <c r="F39" s="14"/>
      <c r="G39" s="14" t="s">
        <v>103</v>
      </c>
      <c r="H39" s="76">
        <v>1</v>
      </c>
      <c r="I39" s="77">
        <v>0</v>
      </c>
      <c r="J39" s="76">
        <f t="shared" si="0"/>
        <v>0</v>
      </c>
      <c r="K39" s="76">
        <f t="shared" si="1"/>
        <v>0</v>
      </c>
      <c r="L39" s="76">
        <f t="shared" si="2"/>
        <v>0</v>
      </c>
      <c r="M39" s="78" t="s">
        <v>104</v>
      </c>
      <c r="Z39" s="76">
        <f t="shared" si="3"/>
        <v>0</v>
      </c>
      <c r="AB39" s="76">
        <f t="shared" si="4"/>
        <v>0</v>
      </c>
      <c r="AC39" s="76">
        <f t="shared" si="5"/>
        <v>0</v>
      </c>
      <c r="AD39" s="76">
        <f t="shared" si="6"/>
        <v>0</v>
      </c>
      <c r="AE39" s="76">
        <f t="shared" si="7"/>
        <v>0</v>
      </c>
      <c r="AF39" s="76">
        <f t="shared" si="8"/>
        <v>0</v>
      </c>
      <c r="AG39" s="76">
        <f t="shared" si="9"/>
        <v>0</v>
      </c>
      <c r="AH39" s="76">
        <f t="shared" si="10"/>
        <v>0</v>
      </c>
      <c r="AI39" s="62" t="s">
        <v>99</v>
      </c>
      <c r="AJ39" s="76">
        <f t="shared" si="11"/>
        <v>0</v>
      </c>
      <c r="AK39" s="76">
        <f t="shared" si="12"/>
        <v>0</v>
      </c>
      <c r="AL39" s="76">
        <f t="shared" si="13"/>
        <v>0</v>
      </c>
      <c r="AN39" s="76">
        <v>21</v>
      </c>
      <c r="AO39" s="76">
        <f>I39*0.909720569210867</f>
        <v>0</v>
      </c>
      <c r="AP39" s="76">
        <f>I39*(1-0.909720569210867)</f>
        <v>0</v>
      </c>
      <c r="AQ39" s="79" t="s">
        <v>105</v>
      </c>
      <c r="AV39" s="76">
        <f t="shared" si="16"/>
        <v>0</v>
      </c>
      <c r="AW39" s="76">
        <f t="shared" si="17"/>
        <v>0</v>
      </c>
      <c r="AX39" s="76">
        <f t="shared" si="18"/>
        <v>0</v>
      </c>
      <c r="AY39" s="79" t="s">
        <v>115</v>
      </c>
      <c r="AZ39" s="79" t="s">
        <v>116</v>
      </c>
      <c r="BA39" s="62" t="s">
        <v>108</v>
      </c>
      <c r="BC39" s="76">
        <f t="shared" si="19"/>
        <v>0</v>
      </c>
      <c r="BD39" s="76">
        <f t="shared" si="20"/>
        <v>0</v>
      </c>
      <c r="BE39" s="76">
        <v>0</v>
      </c>
      <c r="BF39" s="76">
        <f>39</f>
        <v>39</v>
      </c>
      <c r="BH39" s="76">
        <f t="shared" si="21"/>
        <v>0</v>
      </c>
      <c r="BI39" s="76">
        <f t="shared" si="22"/>
        <v>0</v>
      </c>
      <c r="BJ39" s="76">
        <f t="shared" si="23"/>
        <v>0</v>
      </c>
      <c r="BK39" s="76"/>
      <c r="BL39" s="76">
        <v>722</v>
      </c>
    </row>
    <row r="40" spans="1:64" ht="15" customHeight="1">
      <c r="A40" s="75" t="s">
        <v>185</v>
      </c>
      <c r="B40" s="14" t="s">
        <v>186</v>
      </c>
      <c r="C40" s="14" t="s">
        <v>187</v>
      </c>
      <c r="D40" s="14"/>
      <c r="E40" s="14"/>
      <c r="F40" s="14"/>
      <c r="G40" s="14" t="s">
        <v>103</v>
      </c>
      <c r="H40" s="76">
        <v>2</v>
      </c>
      <c r="I40" s="77">
        <v>0</v>
      </c>
      <c r="J40" s="76">
        <f t="shared" si="0"/>
        <v>0</v>
      </c>
      <c r="K40" s="76">
        <f t="shared" si="1"/>
        <v>0</v>
      </c>
      <c r="L40" s="76">
        <f t="shared" si="2"/>
        <v>0</v>
      </c>
      <c r="M40" s="78" t="s">
        <v>104</v>
      </c>
      <c r="Z40" s="76">
        <f t="shared" si="3"/>
        <v>0</v>
      </c>
      <c r="AB40" s="76">
        <f t="shared" si="4"/>
        <v>0</v>
      </c>
      <c r="AC40" s="76">
        <f t="shared" si="5"/>
        <v>0</v>
      </c>
      <c r="AD40" s="76">
        <f t="shared" si="6"/>
        <v>0</v>
      </c>
      <c r="AE40" s="76">
        <f t="shared" si="7"/>
        <v>0</v>
      </c>
      <c r="AF40" s="76">
        <f t="shared" si="8"/>
        <v>0</v>
      </c>
      <c r="AG40" s="76">
        <f t="shared" si="9"/>
        <v>0</v>
      </c>
      <c r="AH40" s="76">
        <f t="shared" si="10"/>
        <v>0</v>
      </c>
      <c r="AI40" s="62" t="s">
        <v>99</v>
      </c>
      <c r="AJ40" s="76">
        <f t="shared" si="11"/>
        <v>0</v>
      </c>
      <c r="AK40" s="76">
        <f t="shared" si="12"/>
        <v>0</v>
      </c>
      <c r="AL40" s="76">
        <f t="shared" si="13"/>
        <v>0</v>
      </c>
      <c r="AN40" s="76">
        <v>21</v>
      </c>
      <c r="AO40" s="76">
        <f>I40*0.96021322690992</f>
        <v>0</v>
      </c>
      <c r="AP40" s="76">
        <f>I40*(1-0.96021322690992)</f>
        <v>0</v>
      </c>
      <c r="AQ40" s="79" t="s">
        <v>105</v>
      </c>
      <c r="AV40" s="76">
        <f t="shared" si="16"/>
        <v>0</v>
      </c>
      <c r="AW40" s="76">
        <f t="shared" si="17"/>
        <v>0</v>
      </c>
      <c r="AX40" s="76">
        <f t="shared" si="18"/>
        <v>0</v>
      </c>
      <c r="AY40" s="79" t="s">
        <v>115</v>
      </c>
      <c r="AZ40" s="79" t="s">
        <v>116</v>
      </c>
      <c r="BA40" s="62" t="s">
        <v>108</v>
      </c>
      <c r="BC40" s="76">
        <f t="shared" si="19"/>
        <v>0</v>
      </c>
      <c r="BD40" s="76">
        <f t="shared" si="20"/>
        <v>0</v>
      </c>
      <c r="BE40" s="76">
        <v>0</v>
      </c>
      <c r="BF40" s="76">
        <f>40</f>
        <v>40</v>
      </c>
      <c r="BH40" s="76">
        <f t="shared" si="21"/>
        <v>0</v>
      </c>
      <c r="BI40" s="76">
        <f t="shared" si="22"/>
        <v>0</v>
      </c>
      <c r="BJ40" s="76">
        <f t="shared" si="23"/>
        <v>0</v>
      </c>
      <c r="BK40" s="76"/>
      <c r="BL40" s="76">
        <v>722</v>
      </c>
    </row>
    <row r="41" spans="1:64" ht="15" customHeight="1">
      <c r="A41" s="75" t="s">
        <v>188</v>
      </c>
      <c r="B41" s="14" t="s">
        <v>189</v>
      </c>
      <c r="C41" s="14" t="s">
        <v>190</v>
      </c>
      <c r="D41" s="14"/>
      <c r="E41" s="14"/>
      <c r="F41" s="14"/>
      <c r="G41" s="14" t="s">
        <v>103</v>
      </c>
      <c r="H41" s="76">
        <v>2</v>
      </c>
      <c r="I41" s="77">
        <v>0</v>
      </c>
      <c r="J41" s="76">
        <f t="shared" si="0"/>
        <v>0</v>
      </c>
      <c r="K41" s="76">
        <f t="shared" si="1"/>
        <v>0</v>
      </c>
      <c r="L41" s="76">
        <f t="shared" si="2"/>
        <v>0</v>
      </c>
      <c r="M41" s="78" t="s">
        <v>104</v>
      </c>
      <c r="Z41" s="76">
        <f t="shared" si="3"/>
        <v>0</v>
      </c>
      <c r="AB41" s="76">
        <f t="shared" si="4"/>
        <v>0</v>
      </c>
      <c r="AC41" s="76">
        <f t="shared" si="5"/>
        <v>0</v>
      </c>
      <c r="AD41" s="76">
        <f t="shared" si="6"/>
        <v>0</v>
      </c>
      <c r="AE41" s="76">
        <f t="shared" si="7"/>
        <v>0</v>
      </c>
      <c r="AF41" s="76">
        <f t="shared" si="8"/>
        <v>0</v>
      </c>
      <c r="AG41" s="76">
        <f t="shared" si="9"/>
        <v>0</v>
      </c>
      <c r="AH41" s="76">
        <f t="shared" si="10"/>
        <v>0</v>
      </c>
      <c r="AI41" s="62" t="s">
        <v>99</v>
      </c>
      <c r="AJ41" s="76">
        <f t="shared" si="11"/>
        <v>0</v>
      </c>
      <c r="AK41" s="76">
        <f t="shared" si="12"/>
        <v>0</v>
      </c>
      <c r="AL41" s="76">
        <f t="shared" si="13"/>
        <v>0</v>
      </c>
      <c r="AN41" s="76">
        <v>21</v>
      </c>
      <c r="AO41" s="76">
        <f>I41*0.920877551020408</f>
        <v>0</v>
      </c>
      <c r="AP41" s="76">
        <f>I41*(1-0.920877551020408)</f>
        <v>0</v>
      </c>
      <c r="AQ41" s="79" t="s">
        <v>105</v>
      </c>
      <c r="AV41" s="76">
        <f t="shared" si="16"/>
        <v>0</v>
      </c>
      <c r="AW41" s="76">
        <f t="shared" si="17"/>
        <v>0</v>
      </c>
      <c r="AX41" s="76">
        <f t="shared" si="18"/>
        <v>0</v>
      </c>
      <c r="AY41" s="79" t="s">
        <v>115</v>
      </c>
      <c r="AZ41" s="79" t="s">
        <v>116</v>
      </c>
      <c r="BA41" s="62" t="s">
        <v>108</v>
      </c>
      <c r="BC41" s="76">
        <f t="shared" si="19"/>
        <v>0</v>
      </c>
      <c r="BD41" s="76">
        <f t="shared" si="20"/>
        <v>0</v>
      </c>
      <c r="BE41" s="76">
        <v>0</v>
      </c>
      <c r="BF41" s="76">
        <f>41</f>
        <v>41</v>
      </c>
      <c r="BH41" s="76">
        <f t="shared" si="21"/>
        <v>0</v>
      </c>
      <c r="BI41" s="76">
        <f t="shared" si="22"/>
        <v>0</v>
      </c>
      <c r="BJ41" s="76">
        <f t="shared" si="23"/>
        <v>0</v>
      </c>
      <c r="BK41" s="76"/>
      <c r="BL41" s="76">
        <v>722</v>
      </c>
    </row>
    <row r="42" spans="1:64" ht="15" customHeight="1">
      <c r="A42" s="75" t="s">
        <v>191</v>
      </c>
      <c r="B42" s="14" t="s">
        <v>192</v>
      </c>
      <c r="C42" s="14" t="s">
        <v>193</v>
      </c>
      <c r="D42" s="14"/>
      <c r="E42" s="14"/>
      <c r="F42" s="14"/>
      <c r="G42" s="14" t="s">
        <v>103</v>
      </c>
      <c r="H42" s="76">
        <v>2</v>
      </c>
      <c r="I42" s="77">
        <v>0</v>
      </c>
      <c r="J42" s="76">
        <f t="shared" si="0"/>
        <v>0</v>
      </c>
      <c r="K42" s="76">
        <f t="shared" si="1"/>
        <v>0</v>
      </c>
      <c r="L42" s="76">
        <f t="shared" si="2"/>
        <v>0</v>
      </c>
      <c r="M42" s="78" t="s">
        <v>104</v>
      </c>
      <c r="Z42" s="76">
        <f t="shared" si="3"/>
        <v>0</v>
      </c>
      <c r="AB42" s="76">
        <f t="shared" si="4"/>
        <v>0</v>
      </c>
      <c r="AC42" s="76">
        <f t="shared" si="5"/>
        <v>0</v>
      </c>
      <c r="AD42" s="76">
        <f t="shared" si="6"/>
        <v>0</v>
      </c>
      <c r="AE42" s="76">
        <f t="shared" si="7"/>
        <v>0</v>
      </c>
      <c r="AF42" s="76">
        <f t="shared" si="8"/>
        <v>0</v>
      </c>
      <c r="AG42" s="76">
        <f t="shared" si="9"/>
        <v>0</v>
      </c>
      <c r="AH42" s="76">
        <f t="shared" si="10"/>
        <v>0</v>
      </c>
      <c r="AI42" s="62" t="s">
        <v>99</v>
      </c>
      <c r="AJ42" s="76">
        <f t="shared" si="11"/>
        <v>0</v>
      </c>
      <c r="AK42" s="76">
        <f t="shared" si="12"/>
        <v>0</v>
      </c>
      <c r="AL42" s="76">
        <f t="shared" si="13"/>
        <v>0</v>
      </c>
      <c r="AN42" s="76">
        <v>21</v>
      </c>
      <c r="AO42" s="76">
        <f>I42*0.887688017946559</f>
        <v>0</v>
      </c>
      <c r="AP42" s="76">
        <f>I42*(1-0.887688017946559)</f>
        <v>0</v>
      </c>
      <c r="AQ42" s="79" t="s">
        <v>105</v>
      </c>
      <c r="AV42" s="76">
        <f t="shared" si="16"/>
        <v>0</v>
      </c>
      <c r="AW42" s="76">
        <f t="shared" si="17"/>
        <v>0</v>
      </c>
      <c r="AX42" s="76">
        <f t="shared" si="18"/>
        <v>0</v>
      </c>
      <c r="AY42" s="79" t="s">
        <v>115</v>
      </c>
      <c r="AZ42" s="79" t="s">
        <v>116</v>
      </c>
      <c r="BA42" s="62" t="s">
        <v>108</v>
      </c>
      <c r="BC42" s="76">
        <f t="shared" si="19"/>
        <v>0</v>
      </c>
      <c r="BD42" s="76">
        <f t="shared" si="20"/>
        <v>0</v>
      </c>
      <c r="BE42" s="76">
        <v>0</v>
      </c>
      <c r="BF42" s="76">
        <f>42</f>
        <v>42</v>
      </c>
      <c r="BH42" s="76">
        <f t="shared" si="21"/>
        <v>0</v>
      </c>
      <c r="BI42" s="76">
        <f t="shared" si="22"/>
        <v>0</v>
      </c>
      <c r="BJ42" s="76">
        <f t="shared" si="23"/>
        <v>0</v>
      </c>
      <c r="BK42" s="76"/>
      <c r="BL42" s="76">
        <v>722</v>
      </c>
    </row>
    <row r="43" spans="1:64" ht="15" customHeight="1">
      <c r="A43" s="75" t="s">
        <v>194</v>
      </c>
      <c r="B43" s="14" t="s">
        <v>189</v>
      </c>
      <c r="C43" s="14" t="s">
        <v>190</v>
      </c>
      <c r="D43" s="14"/>
      <c r="E43" s="14"/>
      <c r="F43" s="14"/>
      <c r="G43" s="14" t="s">
        <v>103</v>
      </c>
      <c r="H43" s="76">
        <v>4</v>
      </c>
      <c r="I43" s="77">
        <v>0</v>
      </c>
      <c r="J43" s="76">
        <f t="shared" si="0"/>
        <v>0</v>
      </c>
      <c r="K43" s="76">
        <f t="shared" si="1"/>
        <v>0</v>
      </c>
      <c r="L43" s="76">
        <f t="shared" si="2"/>
        <v>0</v>
      </c>
      <c r="M43" s="78" t="s">
        <v>104</v>
      </c>
      <c r="Z43" s="76">
        <f t="shared" si="3"/>
        <v>0</v>
      </c>
      <c r="AB43" s="76">
        <f t="shared" si="4"/>
        <v>0</v>
      </c>
      <c r="AC43" s="76">
        <f t="shared" si="5"/>
        <v>0</v>
      </c>
      <c r="AD43" s="76">
        <f t="shared" si="6"/>
        <v>0</v>
      </c>
      <c r="AE43" s="76">
        <f t="shared" si="7"/>
        <v>0</v>
      </c>
      <c r="AF43" s="76">
        <f t="shared" si="8"/>
        <v>0</v>
      </c>
      <c r="AG43" s="76">
        <f t="shared" si="9"/>
        <v>0</v>
      </c>
      <c r="AH43" s="76">
        <f t="shared" si="10"/>
        <v>0</v>
      </c>
      <c r="AI43" s="62" t="s">
        <v>99</v>
      </c>
      <c r="AJ43" s="76">
        <f t="shared" si="11"/>
        <v>0</v>
      </c>
      <c r="AK43" s="76">
        <f t="shared" si="12"/>
        <v>0</v>
      </c>
      <c r="AL43" s="76">
        <f t="shared" si="13"/>
        <v>0</v>
      </c>
      <c r="AN43" s="76">
        <v>21</v>
      </c>
      <c r="AO43" s="76">
        <f>I43*0.920877551020408</f>
        <v>0</v>
      </c>
      <c r="AP43" s="76">
        <f>I43*(1-0.920877551020408)</f>
        <v>0</v>
      </c>
      <c r="AQ43" s="79" t="s">
        <v>105</v>
      </c>
      <c r="AV43" s="76">
        <f t="shared" si="16"/>
        <v>0</v>
      </c>
      <c r="AW43" s="76">
        <f t="shared" si="17"/>
        <v>0</v>
      </c>
      <c r="AX43" s="76">
        <f t="shared" si="18"/>
        <v>0</v>
      </c>
      <c r="AY43" s="79" t="s">
        <v>115</v>
      </c>
      <c r="AZ43" s="79" t="s">
        <v>116</v>
      </c>
      <c r="BA43" s="62" t="s">
        <v>108</v>
      </c>
      <c r="BC43" s="76">
        <f t="shared" si="19"/>
        <v>0</v>
      </c>
      <c r="BD43" s="76">
        <f t="shared" si="20"/>
        <v>0</v>
      </c>
      <c r="BE43" s="76">
        <v>0</v>
      </c>
      <c r="BF43" s="76">
        <f>43</f>
        <v>43</v>
      </c>
      <c r="BH43" s="76">
        <f t="shared" si="21"/>
        <v>0</v>
      </c>
      <c r="BI43" s="76">
        <f t="shared" si="22"/>
        <v>0</v>
      </c>
      <c r="BJ43" s="76">
        <f t="shared" si="23"/>
        <v>0</v>
      </c>
      <c r="BK43" s="76"/>
      <c r="BL43" s="76">
        <v>722</v>
      </c>
    </row>
    <row r="44" spans="1:64" ht="15" customHeight="1">
      <c r="A44" s="75" t="s">
        <v>195</v>
      </c>
      <c r="B44" s="14" t="s">
        <v>196</v>
      </c>
      <c r="C44" s="14" t="s">
        <v>197</v>
      </c>
      <c r="D44" s="14"/>
      <c r="E44" s="14"/>
      <c r="F44" s="14"/>
      <c r="G44" s="14" t="s">
        <v>103</v>
      </c>
      <c r="H44" s="76">
        <v>1</v>
      </c>
      <c r="I44" s="77">
        <v>0</v>
      </c>
      <c r="J44" s="76">
        <f t="shared" si="0"/>
        <v>0</v>
      </c>
      <c r="K44" s="76">
        <f t="shared" si="1"/>
        <v>0</v>
      </c>
      <c r="L44" s="76">
        <f t="shared" si="2"/>
        <v>0</v>
      </c>
      <c r="M44" s="78" t="s">
        <v>104</v>
      </c>
      <c r="Z44" s="76">
        <f t="shared" si="3"/>
        <v>0</v>
      </c>
      <c r="AB44" s="76">
        <f t="shared" si="4"/>
        <v>0</v>
      </c>
      <c r="AC44" s="76">
        <f t="shared" si="5"/>
        <v>0</v>
      </c>
      <c r="AD44" s="76">
        <f t="shared" si="6"/>
        <v>0</v>
      </c>
      <c r="AE44" s="76">
        <f t="shared" si="7"/>
        <v>0</v>
      </c>
      <c r="AF44" s="76">
        <f t="shared" si="8"/>
        <v>0</v>
      </c>
      <c r="AG44" s="76">
        <f t="shared" si="9"/>
        <v>0</v>
      </c>
      <c r="AH44" s="76">
        <f t="shared" si="10"/>
        <v>0</v>
      </c>
      <c r="AI44" s="62" t="s">
        <v>99</v>
      </c>
      <c r="AJ44" s="76">
        <f t="shared" si="11"/>
        <v>0</v>
      </c>
      <c r="AK44" s="76">
        <f t="shared" si="12"/>
        <v>0</v>
      </c>
      <c r="AL44" s="76">
        <f t="shared" si="13"/>
        <v>0</v>
      </c>
      <c r="AN44" s="76">
        <v>21</v>
      </c>
      <c r="AO44" s="76">
        <f>I44*0.91742367593444</f>
        <v>0</v>
      </c>
      <c r="AP44" s="76">
        <f>I44*(1-0.91742367593444)</f>
        <v>0</v>
      </c>
      <c r="AQ44" s="79" t="s">
        <v>105</v>
      </c>
      <c r="AV44" s="76">
        <f t="shared" si="16"/>
        <v>0</v>
      </c>
      <c r="AW44" s="76">
        <f t="shared" si="17"/>
        <v>0</v>
      </c>
      <c r="AX44" s="76">
        <f t="shared" si="18"/>
        <v>0</v>
      </c>
      <c r="AY44" s="79" t="s">
        <v>115</v>
      </c>
      <c r="AZ44" s="79" t="s">
        <v>116</v>
      </c>
      <c r="BA44" s="62" t="s">
        <v>108</v>
      </c>
      <c r="BC44" s="76">
        <f t="shared" si="19"/>
        <v>0</v>
      </c>
      <c r="BD44" s="76">
        <f t="shared" si="20"/>
        <v>0</v>
      </c>
      <c r="BE44" s="76">
        <v>0</v>
      </c>
      <c r="BF44" s="76">
        <f>44</f>
        <v>44</v>
      </c>
      <c r="BH44" s="76">
        <f t="shared" si="21"/>
        <v>0</v>
      </c>
      <c r="BI44" s="76">
        <f t="shared" si="22"/>
        <v>0</v>
      </c>
      <c r="BJ44" s="76">
        <f t="shared" si="23"/>
        <v>0</v>
      </c>
      <c r="BK44" s="76"/>
      <c r="BL44" s="76">
        <v>722</v>
      </c>
    </row>
    <row r="45" spans="1:64" ht="15" customHeight="1">
      <c r="A45" s="75" t="s">
        <v>198</v>
      </c>
      <c r="B45" s="14" t="s">
        <v>199</v>
      </c>
      <c r="C45" s="14" t="s">
        <v>200</v>
      </c>
      <c r="D45" s="14"/>
      <c r="E45" s="14"/>
      <c r="F45" s="14"/>
      <c r="G45" s="14" t="s">
        <v>103</v>
      </c>
      <c r="H45" s="76">
        <v>1</v>
      </c>
      <c r="I45" s="77">
        <v>0</v>
      </c>
      <c r="J45" s="76">
        <f t="shared" si="0"/>
        <v>0</v>
      </c>
      <c r="K45" s="76">
        <f t="shared" si="1"/>
        <v>0</v>
      </c>
      <c r="L45" s="76">
        <f t="shared" si="2"/>
        <v>0</v>
      </c>
      <c r="M45" s="78" t="s">
        <v>104</v>
      </c>
      <c r="Z45" s="76">
        <f t="shared" si="3"/>
        <v>0</v>
      </c>
      <c r="AB45" s="76">
        <f t="shared" si="4"/>
        <v>0</v>
      </c>
      <c r="AC45" s="76">
        <f t="shared" si="5"/>
        <v>0</v>
      </c>
      <c r="AD45" s="76">
        <f t="shared" si="6"/>
        <v>0</v>
      </c>
      <c r="AE45" s="76">
        <f t="shared" si="7"/>
        <v>0</v>
      </c>
      <c r="AF45" s="76">
        <f t="shared" si="8"/>
        <v>0</v>
      </c>
      <c r="AG45" s="76">
        <f t="shared" si="9"/>
        <v>0</v>
      </c>
      <c r="AH45" s="76">
        <f t="shared" si="10"/>
        <v>0</v>
      </c>
      <c r="AI45" s="62" t="s">
        <v>99</v>
      </c>
      <c r="AJ45" s="76">
        <f t="shared" si="11"/>
        <v>0</v>
      </c>
      <c r="AK45" s="76">
        <f t="shared" si="12"/>
        <v>0</v>
      </c>
      <c r="AL45" s="76">
        <f t="shared" si="13"/>
        <v>0</v>
      </c>
      <c r="AN45" s="76">
        <v>21</v>
      </c>
      <c r="AO45" s="76">
        <f>I45*0.147761260658006</f>
        <v>0</v>
      </c>
      <c r="AP45" s="76">
        <f>I45*(1-0.147761260658006)</f>
        <v>0</v>
      </c>
      <c r="AQ45" s="79" t="s">
        <v>105</v>
      </c>
      <c r="AV45" s="76">
        <f t="shared" si="16"/>
        <v>0</v>
      </c>
      <c r="AW45" s="76">
        <f t="shared" si="17"/>
        <v>0</v>
      </c>
      <c r="AX45" s="76">
        <f t="shared" si="18"/>
        <v>0</v>
      </c>
      <c r="AY45" s="79" t="s">
        <v>115</v>
      </c>
      <c r="AZ45" s="79" t="s">
        <v>116</v>
      </c>
      <c r="BA45" s="62" t="s">
        <v>108</v>
      </c>
      <c r="BC45" s="76">
        <f t="shared" si="19"/>
        <v>0</v>
      </c>
      <c r="BD45" s="76">
        <f t="shared" si="20"/>
        <v>0</v>
      </c>
      <c r="BE45" s="76">
        <v>0</v>
      </c>
      <c r="BF45" s="76">
        <f>45</f>
        <v>45</v>
      </c>
      <c r="BH45" s="76">
        <f t="shared" si="21"/>
        <v>0</v>
      </c>
      <c r="BI45" s="76">
        <f t="shared" si="22"/>
        <v>0</v>
      </c>
      <c r="BJ45" s="76">
        <f t="shared" si="23"/>
        <v>0</v>
      </c>
      <c r="BK45" s="76"/>
      <c r="BL45" s="76">
        <v>722</v>
      </c>
    </row>
    <row r="46" spans="1:64" ht="15" customHeight="1">
      <c r="A46" s="75" t="s">
        <v>201</v>
      </c>
      <c r="B46" s="14" t="s">
        <v>202</v>
      </c>
      <c r="C46" s="14" t="s">
        <v>203</v>
      </c>
      <c r="D46" s="14"/>
      <c r="E46" s="14"/>
      <c r="F46" s="14"/>
      <c r="G46" s="14" t="s">
        <v>103</v>
      </c>
      <c r="H46" s="76">
        <v>3</v>
      </c>
      <c r="I46" s="77">
        <v>0</v>
      </c>
      <c r="J46" s="76">
        <f t="shared" si="0"/>
        <v>0</v>
      </c>
      <c r="K46" s="76">
        <f t="shared" si="1"/>
        <v>0</v>
      </c>
      <c r="L46" s="76">
        <f t="shared" si="2"/>
        <v>0</v>
      </c>
      <c r="M46" s="78" t="s">
        <v>104</v>
      </c>
      <c r="Z46" s="76">
        <f t="shared" si="3"/>
        <v>0</v>
      </c>
      <c r="AB46" s="76">
        <f t="shared" si="4"/>
        <v>0</v>
      </c>
      <c r="AC46" s="76">
        <f t="shared" si="5"/>
        <v>0</v>
      </c>
      <c r="AD46" s="76">
        <f t="shared" si="6"/>
        <v>0</v>
      </c>
      <c r="AE46" s="76">
        <f t="shared" si="7"/>
        <v>0</v>
      </c>
      <c r="AF46" s="76">
        <f t="shared" si="8"/>
        <v>0</v>
      </c>
      <c r="AG46" s="76">
        <f t="shared" si="9"/>
        <v>0</v>
      </c>
      <c r="AH46" s="76">
        <f t="shared" si="10"/>
        <v>0</v>
      </c>
      <c r="AI46" s="62" t="s">
        <v>99</v>
      </c>
      <c r="AJ46" s="76">
        <f t="shared" si="11"/>
        <v>0</v>
      </c>
      <c r="AK46" s="76">
        <f t="shared" si="12"/>
        <v>0</v>
      </c>
      <c r="AL46" s="76">
        <f t="shared" si="13"/>
        <v>0</v>
      </c>
      <c r="AN46" s="76">
        <v>21</v>
      </c>
      <c r="AO46" s="76">
        <f>I46*0.213143872113677</f>
        <v>0</v>
      </c>
      <c r="AP46" s="76">
        <f>I46*(1-0.213143872113677)</f>
        <v>0</v>
      </c>
      <c r="AQ46" s="79" t="s">
        <v>105</v>
      </c>
      <c r="AV46" s="76">
        <f t="shared" si="16"/>
        <v>0</v>
      </c>
      <c r="AW46" s="76">
        <f t="shared" si="17"/>
        <v>0</v>
      </c>
      <c r="AX46" s="76">
        <f t="shared" si="18"/>
        <v>0</v>
      </c>
      <c r="AY46" s="79" t="s">
        <v>115</v>
      </c>
      <c r="AZ46" s="79" t="s">
        <v>116</v>
      </c>
      <c r="BA46" s="62" t="s">
        <v>108</v>
      </c>
      <c r="BC46" s="76">
        <f t="shared" si="19"/>
        <v>0</v>
      </c>
      <c r="BD46" s="76">
        <f t="shared" si="20"/>
        <v>0</v>
      </c>
      <c r="BE46" s="76">
        <v>0</v>
      </c>
      <c r="BF46" s="76">
        <f>46</f>
        <v>46</v>
      </c>
      <c r="BH46" s="76">
        <f t="shared" si="21"/>
        <v>0</v>
      </c>
      <c r="BI46" s="76">
        <f t="shared" si="22"/>
        <v>0</v>
      </c>
      <c r="BJ46" s="76">
        <f t="shared" si="23"/>
        <v>0</v>
      </c>
      <c r="BK46" s="76"/>
      <c r="BL46" s="76">
        <v>722</v>
      </c>
    </row>
    <row r="47" spans="1:64" ht="15" customHeight="1">
      <c r="A47" s="75" t="s">
        <v>204</v>
      </c>
      <c r="B47" s="14" t="s">
        <v>205</v>
      </c>
      <c r="C47" s="14" t="s">
        <v>206</v>
      </c>
      <c r="D47" s="14"/>
      <c r="E47" s="14"/>
      <c r="F47" s="14"/>
      <c r="G47" s="14" t="s">
        <v>103</v>
      </c>
      <c r="H47" s="76">
        <v>4</v>
      </c>
      <c r="I47" s="77">
        <v>0</v>
      </c>
      <c r="J47" s="76">
        <f t="shared" si="0"/>
        <v>0</v>
      </c>
      <c r="K47" s="76">
        <f t="shared" si="1"/>
        <v>0</v>
      </c>
      <c r="L47" s="76">
        <f t="shared" si="2"/>
        <v>0</v>
      </c>
      <c r="M47" s="78" t="s">
        <v>104</v>
      </c>
      <c r="Z47" s="76">
        <f t="shared" si="3"/>
        <v>0</v>
      </c>
      <c r="AB47" s="76">
        <f t="shared" si="4"/>
        <v>0</v>
      </c>
      <c r="AC47" s="76">
        <f t="shared" si="5"/>
        <v>0</v>
      </c>
      <c r="AD47" s="76">
        <f t="shared" si="6"/>
        <v>0</v>
      </c>
      <c r="AE47" s="76">
        <f t="shared" si="7"/>
        <v>0</v>
      </c>
      <c r="AF47" s="76">
        <f t="shared" si="8"/>
        <v>0</v>
      </c>
      <c r="AG47" s="76">
        <f t="shared" si="9"/>
        <v>0</v>
      </c>
      <c r="AH47" s="76">
        <f t="shared" si="10"/>
        <v>0</v>
      </c>
      <c r="AI47" s="62" t="s">
        <v>99</v>
      </c>
      <c r="AJ47" s="76">
        <f t="shared" si="11"/>
        <v>0</v>
      </c>
      <c r="AK47" s="76">
        <f t="shared" si="12"/>
        <v>0</v>
      </c>
      <c r="AL47" s="76">
        <f t="shared" si="13"/>
        <v>0</v>
      </c>
      <c r="AN47" s="76">
        <v>21</v>
      </c>
      <c r="AO47" s="76">
        <f>I47*0.267760491250212</f>
        <v>0</v>
      </c>
      <c r="AP47" s="76">
        <f>I47*(1-0.267760491250212)</f>
        <v>0</v>
      </c>
      <c r="AQ47" s="79" t="s">
        <v>105</v>
      </c>
      <c r="AV47" s="76">
        <f t="shared" si="16"/>
        <v>0</v>
      </c>
      <c r="AW47" s="76">
        <f t="shared" si="17"/>
        <v>0</v>
      </c>
      <c r="AX47" s="76">
        <f t="shared" si="18"/>
        <v>0</v>
      </c>
      <c r="AY47" s="79" t="s">
        <v>115</v>
      </c>
      <c r="AZ47" s="79" t="s">
        <v>116</v>
      </c>
      <c r="BA47" s="62" t="s">
        <v>108</v>
      </c>
      <c r="BC47" s="76">
        <f t="shared" si="19"/>
        <v>0</v>
      </c>
      <c r="BD47" s="76">
        <f t="shared" si="20"/>
        <v>0</v>
      </c>
      <c r="BE47" s="76">
        <v>0</v>
      </c>
      <c r="BF47" s="76">
        <f>47</f>
        <v>47</v>
      </c>
      <c r="BH47" s="76">
        <f t="shared" si="21"/>
        <v>0</v>
      </c>
      <c r="BI47" s="76">
        <f t="shared" si="22"/>
        <v>0</v>
      </c>
      <c r="BJ47" s="76">
        <f t="shared" si="23"/>
        <v>0</v>
      </c>
      <c r="BK47" s="76"/>
      <c r="BL47" s="76">
        <v>722</v>
      </c>
    </row>
    <row r="48" spans="1:64" ht="15" customHeight="1">
      <c r="A48" s="75" t="s">
        <v>207</v>
      </c>
      <c r="B48" s="14" t="s">
        <v>208</v>
      </c>
      <c r="C48" s="14" t="s">
        <v>209</v>
      </c>
      <c r="D48" s="14"/>
      <c r="E48" s="14"/>
      <c r="F48" s="14"/>
      <c r="G48" s="14" t="s">
        <v>103</v>
      </c>
      <c r="H48" s="76">
        <v>2</v>
      </c>
      <c r="I48" s="77">
        <v>0</v>
      </c>
      <c r="J48" s="76">
        <f t="shared" si="0"/>
        <v>0</v>
      </c>
      <c r="K48" s="76">
        <f t="shared" si="1"/>
        <v>0</v>
      </c>
      <c r="L48" s="76">
        <f t="shared" si="2"/>
        <v>0</v>
      </c>
      <c r="M48" s="78" t="s">
        <v>104</v>
      </c>
      <c r="Z48" s="76">
        <f t="shared" si="3"/>
        <v>0</v>
      </c>
      <c r="AB48" s="76">
        <f t="shared" si="4"/>
        <v>0</v>
      </c>
      <c r="AC48" s="76">
        <f t="shared" si="5"/>
        <v>0</v>
      </c>
      <c r="AD48" s="76">
        <f t="shared" si="6"/>
        <v>0</v>
      </c>
      <c r="AE48" s="76">
        <f t="shared" si="7"/>
        <v>0</v>
      </c>
      <c r="AF48" s="76">
        <f t="shared" si="8"/>
        <v>0</v>
      </c>
      <c r="AG48" s="76">
        <f t="shared" si="9"/>
        <v>0</v>
      </c>
      <c r="AH48" s="76">
        <f t="shared" si="10"/>
        <v>0</v>
      </c>
      <c r="AI48" s="62" t="s">
        <v>99</v>
      </c>
      <c r="AJ48" s="76">
        <f t="shared" si="11"/>
        <v>0</v>
      </c>
      <c r="AK48" s="76">
        <f t="shared" si="12"/>
        <v>0</v>
      </c>
      <c r="AL48" s="76">
        <f t="shared" si="13"/>
        <v>0</v>
      </c>
      <c r="AN48" s="76">
        <v>21</v>
      </c>
      <c r="AO48" s="76">
        <f>I48*0.428964968152866</f>
        <v>0</v>
      </c>
      <c r="AP48" s="76">
        <f>I48*(1-0.428964968152866)</f>
        <v>0</v>
      </c>
      <c r="AQ48" s="79" t="s">
        <v>105</v>
      </c>
      <c r="AV48" s="76">
        <f t="shared" si="16"/>
        <v>0</v>
      </c>
      <c r="AW48" s="76">
        <f t="shared" si="17"/>
        <v>0</v>
      </c>
      <c r="AX48" s="76">
        <f t="shared" si="18"/>
        <v>0</v>
      </c>
      <c r="AY48" s="79" t="s">
        <v>115</v>
      </c>
      <c r="AZ48" s="79" t="s">
        <v>116</v>
      </c>
      <c r="BA48" s="62" t="s">
        <v>108</v>
      </c>
      <c r="BC48" s="76">
        <f t="shared" si="19"/>
        <v>0</v>
      </c>
      <c r="BD48" s="76">
        <f t="shared" si="20"/>
        <v>0</v>
      </c>
      <c r="BE48" s="76">
        <v>0</v>
      </c>
      <c r="BF48" s="76">
        <f>48</f>
        <v>48</v>
      </c>
      <c r="BH48" s="76">
        <f t="shared" si="21"/>
        <v>0</v>
      </c>
      <c r="BI48" s="76">
        <f t="shared" si="22"/>
        <v>0</v>
      </c>
      <c r="BJ48" s="76">
        <f t="shared" si="23"/>
        <v>0</v>
      </c>
      <c r="BK48" s="76"/>
      <c r="BL48" s="76">
        <v>722</v>
      </c>
    </row>
    <row r="49" spans="1:64" ht="15" customHeight="1">
      <c r="A49" s="75" t="s">
        <v>210</v>
      </c>
      <c r="B49" s="14" t="s">
        <v>211</v>
      </c>
      <c r="C49" s="14" t="s">
        <v>212</v>
      </c>
      <c r="D49" s="14"/>
      <c r="E49" s="14"/>
      <c r="F49" s="14"/>
      <c r="G49" s="14" t="s">
        <v>103</v>
      </c>
      <c r="H49" s="76">
        <v>2</v>
      </c>
      <c r="I49" s="77">
        <v>0</v>
      </c>
      <c r="J49" s="76">
        <f t="shared" si="0"/>
        <v>0</v>
      </c>
      <c r="K49" s="76">
        <f t="shared" si="1"/>
        <v>0</v>
      </c>
      <c r="L49" s="76">
        <f t="shared" si="2"/>
        <v>0</v>
      </c>
      <c r="M49" s="78" t="s">
        <v>104</v>
      </c>
      <c r="Z49" s="76">
        <f t="shared" si="3"/>
        <v>0</v>
      </c>
      <c r="AB49" s="76">
        <f t="shared" si="4"/>
        <v>0</v>
      </c>
      <c r="AC49" s="76">
        <f t="shared" si="5"/>
        <v>0</v>
      </c>
      <c r="AD49" s="76">
        <f t="shared" si="6"/>
        <v>0</v>
      </c>
      <c r="AE49" s="76">
        <f t="shared" si="7"/>
        <v>0</v>
      </c>
      <c r="AF49" s="76">
        <f t="shared" si="8"/>
        <v>0</v>
      </c>
      <c r="AG49" s="76">
        <f t="shared" si="9"/>
        <v>0</v>
      </c>
      <c r="AH49" s="76">
        <f t="shared" si="10"/>
        <v>0</v>
      </c>
      <c r="AI49" s="62" t="s">
        <v>99</v>
      </c>
      <c r="AJ49" s="76">
        <f t="shared" si="11"/>
        <v>0</v>
      </c>
      <c r="AK49" s="76">
        <f t="shared" si="12"/>
        <v>0</v>
      </c>
      <c r="AL49" s="76">
        <f t="shared" si="13"/>
        <v>0</v>
      </c>
      <c r="AN49" s="76">
        <v>21</v>
      </c>
      <c r="AO49" s="76">
        <f>I49*0.536686746987952</f>
        <v>0</v>
      </c>
      <c r="AP49" s="76">
        <f>I49*(1-0.536686746987952)</f>
        <v>0</v>
      </c>
      <c r="AQ49" s="79" t="s">
        <v>105</v>
      </c>
      <c r="AV49" s="76">
        <f t="shared" si="16"/>
        <v>0</v>
      </c>
      <c r="AW49" s="76">
        <f t="shared" si="17"/>
        <v>0</v>
      </c>
      <c r="AX49" s="76">
        <f t="shared" si="18"/>
        <v>0</v>
      </c>
      <c r="AY49" s="79" t="s">
        <v>115</v>
      </c>
      <c r="AZ49" s="79" t="s">
        <v>116</v>
      </c>
      <c r="BA49" s="62" t="s">
        <v>108</v>
      </c>
      <c r="BC49" s="76">
        <f t="shared" si="19"/>
        <v>0</v>
      </c>
      <c r="BD49" s="76">
        <f t="shared" si="20"/>
        <v>0</v>
      </c>
      <c r="BE49" s="76">
        <v>0</v>
      </c>
      <c r="BF49" s="76">
        <f>49</f>
        <v>49</v>
      </c>
      <c r="BH49" s="76">
        <f t="shared" si="21"/>
        <v>0</v>
      </c>
      <c r="BI49" s="76">
        <f t="shared" si="22"/>
        <v>0</v>
      </c>
      <c r="BJ49" s="76">
        <f t="shared" si="23"/>
        <v>0</v>
      </c>
      <c r="BK49" s="76"/>
      <c r="BL49" s="76">
        <v>722</v>
      </c>
    </row>
    <row r="50" spans="1:64" ht="15" customHeight="1">
      <c r="A50" s="75" t="s">
        <v>213</v>
      </c>
      <c r="B50" s="14" t="s">
        <v>214</v>
      </c>
      <c r="C50" s="14" t="s">
        <v>215</v>
      </c>
      <c r="D50" s="14"/>
      <c r="E50" s="14"/>
      <c r="F50" s="14"/>
      <c r="G50" s="14" t="s">
        <v>103</v>
      </c>
      <c r="H50" s="76">
        <v>6</v>
      </c>
      <c r="I50" s="77">
        <v>0</v>
      </c>
      <c r="J50" s="76">
        <f t="shared" si="0"/>
        <v>0</v>
      </c>
      <c r="K50" s="76">
        <f t="shared" si="1"/>
        <v>0</v>
      </c>
      <c r="L50" s="76">
        <f t="shared" si="2"/>
        <v>0</v>
      </c>
      <c r="M50" s="78" t="s">
        <v>104</v>
      </c>
      <c r="Z50" s="76">
        <f t="shared" si="3"/>
        <v>0</v>
      </c>
      <c r="AB50" s="76">
        <f t="shared" si="4"/>
        <v>0</v>
      </c>
      <c r="AC50" s="76">
        <f t="shared" si="5"/>
        <v>0</v>
      </c>
      <c r="AD50" s="76">
        <f t="shared" si="6"/>
        <v>0</v>
      </c>
      <c r="AE50" s="76">
        <f t="shared" si="7"/>
        <v>0</v>
      </c>
      <c r="AF50" s="76">
        <f t="shared" si="8"/>
        <v>0</v>
      </c>
      <c r="AG50" s="76">
        <f t="shared" si="9"/>
        <v>0</v>
      </c>
      <c r="AH50" s="76">
        <f t="shared" si="10"/>
        <v>0</v>
      </c>
      <c r="AI50" s="62" t="s">
        <v>99</v>
      </c>
      <c r="AJ50" s="76">
        <f t="shared" si="11"/>
        <v>0</v>
      </c>
      <c r="AK50" s="76">
        <f t="shared" si="12"/>
        <v>0</v>
      </c>
      <c r="AL50" s="76">
        <f t="shared" si="13"/>
        <v>0</v>
      </c>
      <c r="AN50" s="76">
        <v>21</v>
      </c>
      <c r="AO50" s="76">
        <f>I50*0.58235938641344</f>
        <v>0</v>
      </c>
      <c r="AP50" s="76">
        <f>I50*(1-0.58235938641344)</f>
        <v>0</v>
      </c>
      <c r="AQ50" s="79" t="s">
        <v>105</v>
      </c>
      <c r="AV50" s="76">
        <f t="shared" si="16"/>
        <v>0</v>
      </c>
      <c r="AW50" s="76">
        <f t="shared" si="17"/>
        <v>0</v>
      </c>
      <c r="AX50" s="76">
        <f t="shared" si="18"/>
        <v>0</v>
      </c>
      <c r="AY50" s="79" t="s">
        <v>115</v>
      </c>
      <c r="AZ50" s="79" t="s">
        <v>116</v>
      </c>
      <c r="BA50" s="62" t="s">
        <v>108</v>
      </c>
      <c r="BC50" s="76">
        <f t="shared" si="19"/>
        <v>0</v>
      </c>
      <c r="BD50" s="76">
        <f t="shared" si="20"/>
        <v>0</v>
      </c>
      <c r="BE50" s="76">
        <v>0</v>
      </c>
      <c r="BF50" s="76">
        <f>50</f>
        <v>50</v>
      </c>
      <c r="BH50" s="76">
        <f t="shared" si="21"/>
        <v>0</v>
      </c>
      <c r="BI50" s="76">
        <f t="shared" si="22"/>
        <v>0</v>
      </c>
      <c r="BJ50" s="76">
        <f t="shared" si="23"/>
        <v>0</v>
      </c>
      <c r="BK50" s="76"/>
      <c r="BL50" s="76">
        <v>722</v>
      </c>
    </row>
    <row r="51" spans="1:64" ht="15" customHeight="1">
      <c r="A51" s="75" t="s">
        <v>216</v>
      </c>
      <c r="B51" s="14" t="s">
        <v>180</v>
      </c>
      <c r="C51" s="14" t="s">
        <v>181</v>
      </c>
      <c r="D51" s="14"/>
      <c r="E51" s="14"/>
      <c r="F51" s="14"/>
      <c r="G51" s="14" t="s">
        <v>103</v>
      </c>
      <c r="H51" s="76">
        <v>6</v>
      </c>
      <c r="I51" s="77">
        <v>0</v>
      </c>
      <c r="J51" s="76">
        <f t="shared" si="0"/>
        <v>0</v>
      </c>
      <c r="K51" s="76">
        <f t="shared" si="1"/>
        <v>0</v>
      </c>
      <c r="L51" s="76">
        <f t="shared" si="2"/>
        <v>0</v>
      </c>
      <c r="M51" s="78" t="s">
        <v>104</v>
      </c>
      <c r="Z51" s="76">
        <f t="shared" si="3"/>
        <v>0</v>
      </c>
      <c r="AB51" s="76">
        <f t="shared" si="4"/>
        <v>0</v>
      </c>
      <c r="AC51" s="76">
        <f t="shared" si="5"/>
        <v>0</v>
      </c>
      <c r="AD51" s="76">
        <f t="shared" si="6"/>
        <v>0</v>
      </c>
      <c r="AE51" s="76">
        <f t="shared" si="7"/>
        <v>0</v>
      </c>
      <c r="AF51" s="76">
        <f t="shared" si="8"/>
        <v>0</v>
      </c>
      <c r="AG51" s="76">
        <f t="shared" si="9"/>
        <v>0</v>
      </c>
      <c r="AH51" s="76">
        <f t="shared" si="10"/>
        <v>0</v>
      </c>
      <c r="AI51" s="62" t="s">
        <v>99</v>
      </c>
      <c r="AJ51" s="76">
        <f t="shared" si="11"/>
        <v>0</v>
      </c>
      <c r="AK51" s="76">
        <f t="shared" si="12"/>
        <v>0</v>
      </c>
      <c r="AL51" s="76">
        <f t="shared" si="13"/>
        <v>0</v>
      </c>
      <c r="AN51" s="76">
        <v>21</v>
      </c>
      <c r="AO51" s="76">
        <f aca="true" t="shared" si="24" ref="AO51:AO52">I51*0.934534709193246</f>
        <v>0</v>
      </c>
      <c r="AP51" s="76">
        <f aca="true" t="shared" si="25" ref="AP51:AP52">I51*(1-0.934534709193246)</f>
        <v>0</v>
      </c>
      <c r="AQ51" s="79" t="s">
        <v>105</v>
      </c>
      <c r="AV51" s="76">
        <f t="shared" si="16"/>
        <v>0</v>
      </c>
      <c r="AW51" s="76">
        <f t="shared" si="17"/>
        <v>0</v>
      </c>
      <c r="AX51" s="76">
        <f t="shared" si="18"/>
        <v>0</v>
      </c>
      <c r="AY51" s="79" t="s">
        <v>115</v>
      </c>
      <c r="AZ51" s="79" t="s">
        <v>116</v>
      </c>
      <c r="BA51" s="62" t="s">
        <v>108</v>
      </c>
      <c r="BC51" s="76">
        <f t="shared" si="19"/>
        <v>0</v>
      </c>
      <c r="BD51" s="76">
        <f t="shared" si="20"/>
        <v>0</v>
      </c>
      <c r="BE51" s="76">
        <v>0</v>
      </c>
      <c r="BF51" s="76">
        <f>51</f>
        <v>51</v>
      </c>
      <c r="BH51" s="76">
        <f t="shared" si="21"/>
        <v>0</v>
      </c>
      <c r="BI51" s="76">
        <f t="shared" si="22"/>
        <v>0</v>
      </c>
      <c r="BJ51" s="76">
        <f t="shared" si="23"/>
        <v>0</v>
      </c>
      <c r="BK51" s="76"/>
      <c r="BL51" s="76">
        <v>722</v>
      </c>
    </row>
    <row r="52" spans="1:64" ht="15" customHeight="1">
      <c r="A52" s="75" t="s">
        <v>217</v>
      </c>
      <c r="B52" s="14" t="s">
        <v>180</v>
      </c>
      <c r="C52" s="14" t="s">
        <v>181</v>
      </c>
      <c r="D52" s="14"/>
      <c r="E52" s="14"/>
      <c r="F52" s="14"/>
      <c r="G52" s="14" t="s">
        <v>103</v>
      </c>
      <c r="H52" s="76">
        <v>9</v>
      </c>
      <c r="I52" s="77">
        <v>0</v>
      </c>
      <c r="J52" s="76">
        <f t="shared" si="0"/>
        <v>0</v>
      </c>
      <c r="K52" s="76">
        <f t="shared" si="1"/>
        <v>0</v>
      </c>
      <c r="L52" s="76">
        <f t="shared" si="2"/>
        <v>0</v>
      </c>
      <c r="M52" s="78" t="s">
        <v>104</v>
      </c>
      <c r="Z52" s="76">
        <f t="shared" si="3"/>
        <v>0</v>
      </c>
      <c r="AB52" s="76">
        <f t="shared" si="4"/>
        <v>0</v>
      </c>
      <c r="AC52" s="76">
        <f t="shared" si="5"/>
        <v>0</v>
      </c>
      <c r="AD52" s="76">
        <f t="shared" si="6"/>
        <v>0</v>
      </c>
      <c r="AE52" s="76">
        <f t="shared" si="7"/>
        <v>0</v>
      </c>
      <c r="AF52" s="76">
        <f t="shared" si="8"/>
        <v>0</v>
      </c>
      <c r="AG52" s="76">
        <f t="shared" si="9"/>
        <v>0</v>
      </c>
      <c r="AH52" s="76">
        <f t="shared" si="10"/>
        <v>0</v>
      </c>
      <c r="AI52" s="62" t="s">
        <v>99</v>
      </c>
      <c r="AJ52" s="76">
        <f t="shared" si="11"/>
        <v>0</v>
      </c>
      <c r="AK52" s="76">
        <f t="shared" si="12"/>
        <v>0</v>
      </c>
      <c r="AL52" s="76">
        <f t="shared" si="13"/>
        <v>0</v>
      </c>
      <c r="AN52" s="76">
        <v>21</v>
      </c>
      <c r="AO52" s="76">
        <f t="shared" si="24"/>
        <v>0</v>
      </c>
      <c r="AP52" s="76">
        <f t="shared" si="25"/>
        <v>0</v>
      </c>
      <c r="AQ52" s="79" t="s">
        <v>105</v>
      </c>
      <c r="AV52" s="76">
        <f t="shared" si="16"/>
        <v>0</v>
      </c>
      <c r="AW52" s="76">
        <f t="shared" si="17"/>
        <v>0</v>
      </c>
      <c r="AX52" s="76">
        <f t="shared" si="18"/>
        <v>0</v>
      </c>
      <c r="AY52" s="79" t="s">
        <v>115</v>
      </c>
      <c r="AZ52" s="79" t="s">
        <v>116</v>
      </c>
      <c r="BA52" s="62" t="s">
        <v>108</v>
      </c>
      <c r="BC52" s="76">
        <f t="shared" si="19"/>
        <v>0</v>
      </c>
      <c r="BD52" s="76">
        <f t="shared" si="20"/>
        <v>0</v>
      </c>
      <c r="BE52" s="76">
        <v>0</v>
      </c>
      <c r="BF52" s="76">
        <f>52</f>
        <v>52</v>
      </c>
      <c r="BH52" s="76">
        <f t="shared" si="21"/>
        <v>0</v>
      </c>
      <c r="BI52" s="76">
        <f t="shared" si="22"/>
        <v>0</v>
      </c>
      <c r="BJ52" s="76">
        <f t="shared" si="23"/>
        <v>0</v>
      </c>
      <c r="BK52" s="76"/>
      <c r="BL52" s="76">
        <v>722</v>
      </c>
    </row>
    <row r="53" spans="1:64" ht="15" customHeight="1">
      <c r="A53" s="75" t="s">
        <v>218</v>
      </c>
      <c r="B53" s="14" t="s">
        <v>219</v>
      </c>
      <c r="C53" s="14" t="s">
        <v>220</v>
      </c>
      <c r="D53" s="14"/>
      <c r="E53" s="14"/>
      <c r="F53" s="14"/>
      <c r="G53" s="14" t="s">
        <v>103</v>
      </c>
      <c r="H53" s="76">
        <v>3</v>
      </c>
      <c r="I53" s="77">
        <v>0</v>
      </c>
      <c r="J53" s="76">
        <f t="shared" si="0"/>
        <v>0</v>
      </c>
      <c r="K53" s="76">
        <f t="shared" si="1"/>
        <v>0</v>
      </c>
      <c r="L53" s="76">
        <f t="shared" si="2"/>
        <v>0</v>
      </c>
      <c r="M53" s="78" t="s">
        <v>104</v>
      </c>
      <c r="Z53" s="76">
        <f t="shared" si="3"/>
        <v>0</v>
      </c>
      <c r="AB53" s="76">
        <f t="shared" si="4"/>
        <v>0</v>
      </c>
      <c r="AC53" s="76">
        <f t="shared" si="5"/>
        <v>0</v>
      </c>
      <c r="AD53" s="76">
        <f t="shared" si="6"/>
        <v>0</v>
      </c>
      <c r="AE53" s="76">
        <f t="shared" si="7"/>
        <v>0</v>
      </c>
      <c r="AF53" s="76">
        <f t="shared" si="8"/>
        <v>0</v>
      </c>
      <c r="AG53" s="76">
        <f t="shared" si="9"/>
        <v>0</v>
      </c>
      <c r="AH53" s="76">
        <f t="shared" si="10"/>
        <v>0</v>
      </c>
      <c r="AI53" s="62" t="s">
        <v>99</v>
      </c>
      <c r="AJ53" s="76">
        <f t="shared" si="11"/>
        <v>0</v>
      </c>
      <c r="AK53" s="76">
        <f t="shared" si="12"/>
        <v>0</v>
      </c>
      <c r="AL53" s="76">
        <f t="shared" si="13"/>
        <v>0</v>
      </c>
      <c r="AN53" s="76">
        <v>21</v>
      </c>
      <c r="AO53" s="76">
        <f>I53*0.926136191677175</f>
        <v>0</v>
      </c>
      <c r="AP53" s="76">
        <f>I53*(1-0.926136191677175)</f>
        <v>0</v>
      </c>
      <c r="AQ53" s="79" t="s">
        <v>105</v>
      </c>
      <c r="AV53" s="76">
        <f t="shared" si="16"/>
        <v>0</v>
      </c>
      <c r="AW53" s="76">
        <f t="shared" si="17"/>
        <v>0</v>
      </c>
      <c r="AX53" s="76">
        <f t="shared" si="18"/>
        <v>0</v>
      </c>
      <c r="AY53" s="79" t="s">
        <v>115</v>
      </c>
      <c r="AZ53" s="79" t="s">
        <v>116</v>
      </c>
      <c r="BA53" s="62" t="s">
        <v>108</v>
      </c>
      <c r="BC53" s="76">
        <f t="shared" si="19"/>
        <v>0</v>
      </c>
      <c r="BD53" s="76">
        <f t="shared" si="20"/>
        <v>0</v>
      </c>
      <c r="BE53" s="76">
        <v>0</v>
      </c>
      <c r="BF53" s="76">
        <f>53</f>
        <v>53</v>
      </c>
      <c r="BH53" s="76">
        <f t="shared" si="21"/>
        <v>0</v>
      </c>
      <c r="BI53" s="76">
        <f t="shared" si="22"/>
        <v>0</v>
      </c>
      <c r="BJ53" s="76">
        <f t="shared" si="23"/>
        <v>0</v>
      </c>
      <c r="BK53" s="76"/>
      <c r="BL53" s="76">
        <v>722</v>
      </c>
    </row>
    <row r="54" spans="1:64" ht="15" customHeight="1">
      <c r="A54" s="75" t="s">
        <v>221</v>
      </c>
      <c r="B54" s="14" t="s">
        <v>222</v>
      </c>
      <c r="C54" s="14" t="s">
        <v>223</v>
      </c>
      <c r="D54" s="14"/>
      <c r="E54" s="14"/>
      <c r="F54" s="14"/>
      <c r="G54" s="14" t="s">
        <v>103</v>
      </c>
      <c r="H54" s="76">
        <v>6</v>
      </c>
      <c r="I54" s="77">
        <v>0</v>
      </c>
      <c r="J54" s="76">
        <f t="shared" si="0"/>
        <v>0</v>
      </c>
      <c r="K54" s="76">
        <f t="shared" si="1"/>
        <v>0</v>
      </c>
      <c r="L54" s="76">
        <f t="shared" si="2"/>
        <v>0</v>
      </c>
      <c r="M54" s="78" t="s">
        <v>104</v>
      </c>
      <c r="Z54" s="76">
        <f t="shared" si="3"/>
        <v>0</v>
      </c>
      <c r="AB54" s="76">
        <f t="shared" si="4"/>
        <v>0</v>
      </c>
      <c r="AC54" s="76">
        <f t="shared" si="5"/>
        <v>0</v>
      </c>
      <c r="AD54" s="76">
        <f t="shared" si="6"/>
        <v>0</v>
      </c>
      <c r="AE54" s="76">
        <f t="shared" si="7"/>
        <v>0</v>
      </c>
      <c r="AF54" s="76">
        <f t="shared" si="8"/>
        <v>0</v>
      </c>
      <c r="AG54" s="76">
        <f t="shared" si="9"/>
        <v>0</v>
      </c>
      <c r="AH54" s="76">
        <f t="shared" si="10"/>
        <v>0</v>
      </c>
      <c r="AI54" s="62" t="s">
        <v>99</v>
      </c>
      <c r="AJ54" s="76">
        <f t="shared" si="11"/>
        <v>0</v>
      </c>
      <c r="AK54" s="76">
        <f t="shared" si="12"/>
        <v>0</v>
      </c>
      <c r="AL54" s="76">
        <f t="shared" si="13"/>
        <v>0</v>
      </c>
      <c r="AN54" s="76">
        <v>21</v>
      </c>
      <c r="AO54" s="76">
        <f>I54*0.875712847134341</f>
        <v>0</v>
      </c>
      <c r="AP54" s="76">
        <f>I54*(1-0.875712847134341)</f>
        <v>0</v>
      </c>
      <c r="AQ54" s="79" t="s">
        <v>105</v>
      </c>
      <c r="AV54" s="76">
        <f t="shared" si="16"/>
        <v>0</v>
      </c>
      <c r="AW54" s="76">
        <f t="shared" si="17"/>
        <v>0</v>
      </c>
      <c r="AX54" s="76">
        <f t="shared" si="18"/>
        <v>0</v>
      </c>
      <c r="AY54" s="79" t="s">
        <v>115</v>
      </c>
      <c r="AZ54" s="79" t="s">
        <v>116</v>
      </c>
      <c r="BA54" s="62" t="s">
        <v>108</v>
      </c>
      <c r="BC54" s="76">
        <f t="shared" si="19"/>
        <v>0</v>
      </c>
      <c r="BD54" s="76">
        <f t="shared" si="20"/>
        <v>0</v>
      </c>
      <c r="BE54" s="76">
        <v>0</v>
      </c>
      <c r="BF54" s="76">
        <f>54</f>
        <v>54</v>
      </c>
      <c r="BH54" s="76">
        <f t="shared" si="21"/>
        <v>0</v>
      </c>
      <c r="BI54" s="76">
        <f t="shared" si="22"/>
        <v>0</v>
      </c>
      <c r="BJ54" s="76">
        <f t="shared" si="23"/>
        <v>0</v>
      </c>
      <c r="BK54" s="76"/>
      <c r="BL54" s="76">
        <v>722</v>
      </c>
    </row>
    <row r="55" spans="1:64" ht="15" customHeight="1">
      <c r="A55" s="75" t="s">
        <v>224</v>
      </c>
      <c r="B55" s="14" t="s">
        <v>225</v>
      </c>
      <c r="C55" s="14" t="s">
        <v>226</v>
      </c>
      <c r="D55" s="14"/>
      <c r="E55" s="14"/>
      <c r="F55" s="14"/>
      <c r="G55" s="14" t="s">
        <v>103</v>
      </c>
      <c r="H55" s="76">
        <v>1</v>
      </c>
      <c r="I55" s="77">
        <v>0</v>
      </c>
      <c r="J55" s="76">
        <f t="shared" si="0"/>
        <v>0</v>
      </c>
      <c r="K55" s="76">
        <f t="shared" si="1"/>
        <v>0</v>
      </c>
      <c r="L55" s="76">
        <f t="shared" si="2"/>
        <v>0</v>
      </c>
      <c r="M55" s="78" t="s">
        <v>104</v>
      </c>
      <c r="Z55" s="76">
        <f t="shared" si="3"/>
        <v>0</v>
      </c>
      <c r="AB55" s="76">
        <f t="shared" si="4"/>
        <v>0</v>
      </c>
      <c r="AC55" s="76">
        <f t="shared" si="5"/>
        <v>0</v>
      </c>
      <c r="AD55" s="76">
        <f t="shared" si="6"/>
        <v>0</v>
      </c>
      <c r="AE55" s="76">
        <f t="shared" si="7"/>
        <v>0</v>
      </c>
      <c r="AF55" s="76">
        <f t="shared" si="8"/>
        <v>0</v>
      </c>
      <c r="AG55" s="76">
        <f t="shared" si="9"/>
        <v>0</v>
      </c>
      <c r="AH55" s="76">
        <f t="shared" si="10"/>
        <v>0</v>
      </c>
      <c r="AI55" s="62" t="s">
        <v>99</v>
      </c>
      <c r="AJ55" s="76">
        <f t="shared" si="11"/>
        <v>0</v>
      </c>
      <c r="AK55" s="76">
        <f t="shared" si="12"/>
        <v>0</v>
      </c>
      <c r="AL55" s="76">
        <f t="shared" si="13"/>
        <v>0</v>
      </c>
      <c r="AN55" s="76">
        <v>21</v>
      </c>
      <c r="AO55" s="76">
        <f>I55*0.836132075471698</f>
        <v>0</v>
      </c>
      <c r="AP55" s="76">
        <f>I55*(1-0.836132075471698)</f>
        <v>0</v>
      </c>
      <c r="AQ55" s="79" t="s">
        <v>105</v>
      </c>
      <c r="AV55" s="76">
        <f t="shared" si="16"/>
        <v>0</v>
      </c>
      <c r="AW55" s="76">
        <f t="shared" si="17"/>
        <v>0</v>
      </c>
      <c r="AX55" s="76">
        <f t="shared" si="18"/>
        <v>0</v>
      </c>
      <c r="AY55" s="79" t="s">
        <v>115</v>
      </c>
      <c r="AZ55" s="79" t="s">
        <v>116</v>
      </c>
      <c r="BA55" s="62" t="s">
        <v>108</v>
      </c>
      <c r="BC55" s="76">
        <f t="shared" si="19"/>
        <v>0</v>
      </c>
      <c r="BD55" s="76">
        <f t="shared" si="20"/>
        <v>0</v>
      </c>
      <c r="BE55" s="76">
        <v>0</v>
      </c>
      <c r="BF55" s="76">
        <f>55</f>
        <v>55</v>
      </c>
      <c r="BH55" s="76">
        <f t="shared" si="21"/>
        <v>0</v>
      </c>
      <c r="BI55" s="76">
        <f t="shared" si="22"/>
        <v>0</v>
      </c>
      <c r="BJ55" s="76">
        <f t="shared" si="23"/>
        <v>0</v>
      </c>
      <c r="BK55" s="76"/>
      <c r="BL55" s="76">
        <v>722</v>
      </c>
    </row>
    <row r="56" spans="1:64" ht="15" customHeight="1">
      <c r="A56" s="75" t="s">
        <v>227</v>
      </c>
      <c r="B56" s="14" t="s">
        <v>228</v>
      </c>
      <c r="C56" s="14" t="s">
        <v>229</v>
      </c>
      <c r="D56" s="14"/>
      <c r="E56" s="14"/>
      <c r="F56" s="14"/>
      <c r="G56" s="14" t="s">
        <v>103</v>
      </c>
      <c r="H56" s="76">
        <v>9</v>
      </c>
      <c r="I56" s="77">
        <v>0</v>
      </c>
      <c r="J56" s="76">
        <f t="shared" si="0"/>
        <v>0</v>
      </c>
      <c r="K56" s="76">
        <f t="shared" si="1"/>
        <v>0</v>
      </c>
      <c r="L56" s="76">
        <f t="shared" si="2"/>
        <v>0</v>
      </c>
      <c r="M56" s="78" t="s">
        <v>104</v>
      </c>
      <c r="Z56" s="76">
        <f t="shared" si="3"/>
        <v>0</v>
      </c>
      <c r="AB56" s="76">
        <f t="shared" si="4"/>
        <v>0</v>
      </c>
      <c r="AC56" s="76">
        <f t="shared" si="5"/>
        <v>0</v>
      </c>
      <c r="AD56" s="76">
        <f t="shared" si="6"/>
        <v>0</v>
      </c>
      <c r="AE56" s="76">
        <f t="shared" si="7"/>
        <v>0</v>
      </c>
      <c r="AF56" s="76">
        <f t="shared" si="8"/>
        <v>0</v>
      </c>
      <c r="AG56" s="76">
        <f t="shared" si="9"/>
        <v>0</v>
      </c>
      <c r="AH56" s="76">
        <f t="shared" si="10"/>
        <v>0</v>
      </c>
      <c r="AI56" s="62" t="s">
        <v>99</v>
      </c>
      <c r="AJ56" s="76">
        <f t="shared" si="11"/>
        <v>0</v>
      </c>
      <c r="AK56" s="76">
        <f t="shared" si="12"/>
        <v>0</v>
      </c>
      <c r="AL56" s="76">
        <f t="shared" si="13"/>
        <v>0</v>
      </c>
      <c r="AN56" s="76">
        <v>21</v>
      </c>
      <c r="AO56" s="76">
        <f>I56*0.81990159901599</f>
        <v>0</v>
      </c>
      <c r="AP56" s="76">
        <f>I56*(1-0.81990159901599)</f>
        <v>0</v>
      </c>
      <c r="AQ56" s="79" t="s">
        <v>105</v>
      </c>
      <c r="AV56" s="76">
        <f t="shared" si="16"/>
        <v>0</v>
      </c>
      <c r="AW56" s="76">
        <f t="shared" si="17"/>
        <v>0</v>
      </c>
      <c r="AX56" s="76">
        <f t="shared" si="18"/>
        <v>0</v>
      </c>
      <c r="AY56" s="79" t="s">
        <v>115</v>
      </c>
      <c r="AZ56" s="79" t="s">
        <v>116</v>
      </c>
      <c r="BA56" s="62" t="s">
        <v>108</v>
      </c>
      <c r="BC56" s="76">
        <f t="shared" si="19"/>
        <v>0</v>
      </c>
      <c r="BD56" s="76">
        <f t="shared" si="20"/>
        <v>0</v>
      </c>
      <c r="BE56" s="76">
        <v>0</v>
      </c>
      <c r="BF56" s="76">
        <f>56</f>
        <v>56</v>
      </c>
      <c r="BH56" s="76">
        <f t="shared" si="21"/>
        <v>0</v>
      </c>
      <c r="BI56" s="76">
        <f t="shared" si="22"/>
        <v>0</v>
      </c>
      <c r="BJ56" s="76">
        <f t="shared" si="23"/>
        <v>0</v>
      </c>
      <c r="BK56" s="76"/>
      <c r="BL56" s="76">
        <v>722</v>
      </c>
    </row>
    <row r="57" spans="1:64" ht="15" customHeight="1">
      <c r="A57" s="75" t="s">
        <v>230</v>
      </c>
      <c r="B57" s="14" t="s">
        <v>231</v>
      </c>
      <c r="C57" s="14" t="s">
        <v>232</v>
      </c>
      <c r="D57" s="14"/>
      <c r="E57" s="14"/>
      <c r="F57" s="14"/>
      <c r="G57" s="14" t="s">
        <v>103</v>
      </c>
      <c r="H57" s="76">
        <v>1</v>
      </c>
      <c r="I57" s="77">
        <v>0</v>
      </c>
      <c r="J57" s="76">
        <f t="shared" si="0"/>
        <v>0</v>
      </c>
      <c r="K57" s="76">
        <f t="shared" si="1"/>
        <v>0</v>
      </c>
      <c r="L57" s="76">
        <f t="shared" si="2"/>
        <v>0</v>
      </c>
      <c r="M57" s="78" t="s">
        <v>104</v>
      </c>
      <c r="Z57" s="76">
        <f t="shared" si="3"/>
        <v>0</v>
      </c>
      <c r="AB57" s="76">
        <f t="shared" si="4"/>
        <v>0</v>
      </c>
      <c r="AC57" s="76">
        <f t="shared" si="5"/>
        <v>0</v>
      </c>
      <c r="AD57" s="76">
        <f t="shared" si="6"/>
        <v>0</v>
      </c>
      <c r="AE57" s="76">
        <f t="shared" si="7"/>
        <v>0</v>
      </c>
      <c r="AF57" s="76">
        <f t="shared" si="8"/>
        <v>0</v>
      </c>
      <c r="AG57" s="76">
        <f t="shared" si="9"/>
        <v>0</v>
      </c>
      <c r="AH57" s="76">
        <f t="shared" si="10"/>
        <v>0</v>
      </c>
      <c r="AI57" s="62" t="s">
        <v>99</v>
      </c>
      <c r="AJ57" s="76">
        <f t="shared" si="11"/>
        <v>0</v>
      </c>
      <c r="AK57" s="76">
        <f t="shared" si="12"/>
        <v>0</v>
      </c>
      <c r="AL57" s="76">
        <f t="shared" si="13"/>
        <v>0</v>
      </c>
      <c r="AN57" s="76">
        <v>21</v>
      </c>
      <c r="AO57" s="76">
        <f>I57*0.773681318681319</f>
        <v>0</v>
      </c>
      <c r="AP57" s="76">
        <f>I57*(1-0.773681318681319)</f>
        <v>0</v>
      </c>
      <c r="AQ57" s="79" t="s">
        <v>105</v>
      </c>
      <c r="AV57" s="76">
        <f t="shared" si="16"/>
        <v>0</v>
      </c>
      <c r="AW57" s="76">
        <f t="shared" si="17"/>
        <v>0</v>
      </c>
      <c r="AX57" s="76">
        <f t="shared" si="18"/>
        <v>0</v>
      </c>
      <c r="AY57" s="79" t="s">
        <v>115</v>
      </c>
      <c r="AZ57" s="79" t="s">
        <v>116</v>
      </c>
      <c r="BA57" s="62" t="s">
        <v>108</v>
      </c>
      <c r="BC57" s="76">
        <f t="shared" si="19"/>
        <v>0</v>
      </c>
      <c r="BD57" s="76">
        <f t="shared" si="20"/>
        <v>0</v>
      </c>
      <c r="BE57" s="76">
        <v>0</v>
      </c>
      <c r="BF57" s="76">
        <f>57</f>
        <v>57</v>
      </c>
      <c r="BH57" s="76">
        <f t="shared" si="21"/>
        <v>0</v>
      </c>
      <c r="BI57" s="76">
        <f t="shared" si="22"/>
        <v>0</v>
      </c>
      <c r="BJ57" s="76">
        <f t="shared" si="23"/>
        <v>0</v>
      </c>
      <c r="BK57" s="76"/>
      <c r="BL57" s="76">
        <v>722</v>
      </c>
    </row>
    <row r="58" spans="1:64" ht="15" customHeight="1">
      <c r="A58" s="75" t="s">
        <v>233</v>
      </c>
      <c r="B58" s="14" t="s">
        <v>234</v>
      </c>
      <c r="C58" s="14" t="s">
        <v>235</v>
      </c>
      <c r="D58" s="14"/>
      <c r="E58" s="14"/>
      <c r="F58" s="14"/>
      <c r="G58" s="14" t="s">
        <v>103</v>
      </c>
      <c r="H58" s="76">
        <v>6</v>
      </c>
      <c r="I58" s="77">
        <v>0</v>
      </c>
      <c r="J58" s="76">
        <f t="shared" si="0"/>
        <v>0</v>
      </c>
      <c r="K58" s="76">
        <f t="shared" si="1"/>
        <v>0</v>
      </c>
      <c r="L58" s="76">
        <f t="shared" si="2"/>
        <v>0</v>
      </c>
      <c r="M58" s="78" t="s">
        <v>104</v>
      </c>
      <c r="Z58" s="76">
        <f t="shared" si="3"/>
        <v>0</v>
      </c>
      <c r="AB58" s="76">
        <f t="shared" si="4"/>
        <v>0</v>
      </c>
      <c r="AC58" s="76">
        <f t="shared" si="5"/>
        <v>0</v>
      </c>
      <c r="AD58" s="76">
        <f t="shared" si="6"/>
        <v>0</v>
      </c>
      <c r="AE58" s="76">
        <f t="shared" si="7"/>
        <v>0</v>
      </c>
      <c r="AF58" s="76">
        <f t="shared" si="8"/>
        <v>0</v>
      </c>
      <c r="AG58" s="76">
        <f t="shared" si="9"/>
        <v>0</v>
      </c>
      <c r="AH58" s="76">
        <f t="shared" si="10"/>
        <v>0</v>
      </c>
      <c r="AI58" s="62" t="s">
        <v>99</v>
      </c>
      <c r="AJ58" s="76">
        <f t="shared" si="11"/>
        <v>0</v>
      </c>
      <c r="AK58" s="76">
        <f t="shared" si="12"/>
        <v>0</v>
      </c>
      <c r="AL58" s="76">
        <f t="shared" si="13"/>
        <v>0</v>
      </c>
      <c r="AN58" s="76">
        <v>21</v>
      </c>
      <c r="AO58" s="76">
        <f aca="true" t="shared" si="26" ref="AO58:AO59">I58*0.903075</f>
        <v>0</v>
      </c>
      <c r="AP58" s="76">
        <f aca="true" t="shared" si="27" ref="AP58:AP59">I58*(1-0.903075)</f>
        <v>0</v>
      </c>
      <c r="AQ58" s="79" t="s">
        <v>105</v>
      </c>
      <c r="AV58" s="76">
        <f t="shared" si="16"/>
        <v>0</v>
      </c>
      <c r="AW58" s="76">
        <f t="shared" si="17"/>
        <v>0</v>
      </c>
      <c r="AX58" s="76">
        <f t="shared" si="18"/>
        <v>0</v>
      </c>
      <c r="AY58" s="79" t="s">
        <v>115</v>
      </c>
      <c r="AZ58" s="79" t="s">
        <v>116</v>
      </c>
      <c r="BA58" s="62" t="s">
        <v>108</v>
      </c>
      <c r="BC58" s="76">
        <f t="shared" si="19"/>
        <v>0</v>
      </c>
      <c r="BD58" s="76">
        <f t="shared" si="20"/>
        <v>0</v>
      </c>
      <c r="BE58" s="76">
        <v>0</v>
      </c>
      <c r="BF58" s="76">
        <f>58</f>
        <v>58</v>
      </c>
      <c r="BH58" s="76">
        <f t="shared" si="21"/>
        <v>0</v>
      </c>
      <c r="BI58" s="76">
        <f t="shared" si="22"/>
        <v>0</v>
      </c>
      <c r="BJ58" s="76">
        <f t="shared" si="23"/>
        <v>0</v>
      </c>
      <c r="BK58" s="76"/>
      <c r="BL58" s="76">
        <v>722</v>
      </c>
    </row>
    <row r="59" spans="1:64" ht="15" customHeight="1">
      <c r="A59" s="75" t="s">
        <v>236</v>
      </c>
      <c r="B59" s="14" t="s">
        <v>234</v>
      </c>
      <c r="C59" s="14" t="s">
        <v>235</v>
      </c>
      <c r="D59" s="14"/>
      <c r="E59" s="14"/>
      <c r="F59" s="14"/>
      <c r="G59" s="14" t="s">
        <v>103</v>
      </c>
      <c r="H59" s="76">
        <v>9</v>
      </c>
      <c r="I59" s="77">
        <v>0</v>
      </c>
      <c r="J59" s="76">
        <f t="shared" si="0"/>
        <v>0</v>
      </c>
      <c r="K59" s="76">
        <f t="shared" si="1"/>
        <v>0</v>
      </c>
      <c r="L59" s="76">
        <f t="shared" si="2"/>
        <v>0</v>
      </c>
      <c r="M59" s="78" t="s">
        <v>104</v>
      </c>
      <c r="Z59" s="76">
        <f t="shared" si="3"/>
        <v>0</v>
      </c>
      <c r="AB59" s="76">
        <f t="shared" si="4"/>
        <v>0</v>
      </c>
      <c r="AC59" s="76">
        <f t="shared" si="5"/>
        <v>0</v>
      </c>
      <c r="AD59" s="76">
        <f t="shared" si="6"/>
        <v>0</v>
      </c>
      <c r="AE59" s="76">
        <f t="shared" si="7"/>
        <v>0</v>
      </c>
      <c r="AF59" s="76">
        <f t="shared" si="8"/>
        <v>0</v>
      </c>
      <c r="AG59" s="76">
        <f t="shared" si="9"/>
        <v>0</v>
      </c>
      <c r="AH59" s="76">
        <f t="shared" si="10"/>
        <v>0</v>
      </c>
      <c r="AI59" s="62" t="s">
        <v>99</v>
      </c>
      <c r="AJ59" s="76">
        <f t="shared" si="11"/>
        <v>0</v>
      </c>
      <c r="AK59" s="76">
        <f t="shared" si="12"/>
        <v>0</v>
      </c>
      <c r="AL59" s="76">
        <f t="shared" si="13"/>
        <v>0</v>
      </c>
      <c r="AN59" s="76">
        <v>21</v>
      </c>
      <c r="AO59" s="76">
        <f t="shared" si="26"/>
        <v>0</v>
      </c>
      <c r="AP59" s="76">
        <f t="shared" si="27"/>
        <v>0</v>
      </c>
      <c r="AQ59" s="79" t="s">
        <v>105</v>
      </c>
      <c r="AV59" s="76">
        <f t="shared" si="16"/>
        <v>0</v>
      </c>
      <c r="AW59" s="76">
        <f t="shared" si="17"/>
        <v>0</v>
      </c>
      <c r="AX59" s="76">
        <f t="shared" si="18"/>
        <v>0</v>
      </c>
      <c r="AY59" s="79" t="s">
        <v>115</v>
      </c>
      <c r="AZ59" s="79" t="s">
        <v>116</v>
      </c>
      <c r="BA59" s="62" t="s">
        <v>108</v>
      </c>
      <c r="BC59" s="76">
        <f t="shared" si="19"/>
        <v>0</v>
      </c>
      <c r="BD59" s="76">
        <f t="shared" si="20"/>
        <v>0</v>
      </c>
      <c r="BE59" s="76">
        <v>0</v>
      </c>
      <c r="BF59" s="76">
        <f>59</f>
        <v>59</v>
      </c>
      <c r="BH59" s="76">
        <f t="shared" si="21"/>
        <v>0</v>
      </c>
      <c r="BI59" s="76">
        <f t="shared" si="22"/>
        <v>0</v>
      </c>
      <c r="BJ59" s="76">
        <f t="shared" si="23"/>
        <v>0</v>
      </c>
      <c r="BK59" s="76"/>
      <c r="BL59" s="76">
        <v>722</v>
      </c>
    </row>
    <row r="60" spans="1:64" ht="15" customHeight="1">
      <c r="A60" s="75" t="s">
        <v>237</v>
      </c>
      <c r="B60" s="14" t="s">
        <v>238</v>
      </c>
      <c r="C60" s="14" t="s">
        <v>239</v>
      </c>
      <c r="D60" s="14"/>
      <c r="E60" s="14"/>
      <c r="F60" s="14"/>
      <c r="G60" s="14" t="s">
        <v>103</v>
      </c>
      <c r="H60" s="76">
        <v>1</v>
      </c>
      <c r="I60" s="77">
        <v>0</v>
      </c>
      <c r="J60" s="76">
        <f t="shared" si="0"/>
        <v>0</v>
      </c>
      <c r="K60" s="76">
        <f t="shared" si="1"/>
        <v>0</v>
      </c>
      <c r="L60" s="76">
        <f t="shared" si="2"/>
        <v>0</v>
      </c>
      <c r="M60" s="78" t="s">
        <v>104</v>
      </c>
      <c r="Z60" s="76">
        <f t="shared" si="3"/>
        <v>0</v>
      </c>
      <c r="AB60" s="76">
        <f t="shared" si="4"/>
        <v>0</v>
      </c>
      <c r="AC60" s="76">
        <f t="shared" si="5"/>
        <v>0</v>
      </c>
      <c r="AD60" s="76">
        <f t="shared" si="6"/>
        <v>0</v>
      </c>
      <c r="AE60" s="76">
        <f t="shared" si="7"/>
        <v>0</v>
      </c>
      <c r="AF60" s="76">
        <f t="shared" si="8"/>
        <v>0</v>
      </c>
      <c r="AG60" s="76">
        <f t="shared" si="9"/>
        <v>0</v>
      </c>
      <c r="AH60" s="76">
        <f t="shared" si="10"/>
        <v>0</v>
      </c>
      <c r="AI60" s="62" t="s">
        <v>99</v>
      </c>
      <c r="AJ60" s="76">
        <f t="shared" si="11"/>
        <v>0</v>
      </c>
      <c r="AK60" s="76">
        <f t="shared" si="12"/>
        <v>0</v>
      </c>
      <c r="AL60" s="76">
        <f t="shared" si="13"/>
        <v>0</v>
      </c>
      <c r="AN60" s="76">
        <v>21</v>
      </c>
      <c r="AO60" s="76">
        <f>I60*0.876686315789474</f>
        <v>0</v>
      </c>
      <c r="AP60" s="76">
        <f>I60*(1-0.876686315789474)</f>
        <v>0</v>
      </c>
      <c r="AQ60" s="79" t="s">
        <v>105</v>
      </c>
      <c r="AV60" s="76">
        <f t="shared" si="16"/>
        <v>0</v>
      </c>
      <c r="AW60" s="76">
        <f t="shared" si="17"/>
        <v>0</v>
      </c>
      <c r="AX60" s="76">
        <f t="shared" si="18"/>
        <v>0</v>
      </c>
      <c r="AY60" s="79" t="s">
        <v>115</v>
      </c>
      <c r="AZ60" s="79" t="s">
        <v>116</v>
      </c>
      <c r="BA60" s="62" t="s">
        <v>108</v>
      </c>
      <c r="BC60" s="76">
        <f t="shared" si="19"/>
        <v>0</v>
      </c>
      <c r="BD60" s="76">
        <f t="shared" si="20"/>
        <v>0</v>
      </c>
      <c r="BE60" s="76">
        <v>0</v>
      </c>
      <c r="BF60" s="76">
        <f>60</f>
        <v>60</v>
      </c>
      <c r="BH60" s="76">
        <f t="shared" si="21"/>
        <v>0</v>
      </c>
      <c r="BI60" s="76">
        <f t="shared" si="22"/>
        <v>0</v>
      </c>
      <c r="BJ60" s="76">
        <f t="shared" si="23"/>
        <v>0</v>
      </c>
      <c r="BK60" s="76"/>
      <c r="BL60" s="76">
        <v>722</v>
      </c>
    </row>
    <row r="61" spans="1:64" ht="15" customHeight="1">
      <c r="A61" s="75" t="s">
        <v>240</v>
      </c>
      <c r="B61" s="14" t="s">
        <v>241</v>
      </c>
      <c r="C61" s="14" t="s">
        <v>242</v>
      </c>
      <c r="D61" s="14"/>
      <c r="E61" s="14"/>
      <c r="F61" s="14"/>
      <c r="G61" s="14" t="s">
        <v>103</v>
      </c>
      <c r="H61" s="76">
        <v>4</v>
      </c>
      <c r="I61" s="77">
        <v>0</v>
      </c>
      <c r="J61" s="76">
        <f t="shared" si="0"/>
        <v>0</v>
      </c>
      <c r="K61" s="76">
        <f t="shared" si="1"/>
        <v>0</v>
      </c>
      <c r="L61" s="76">
        <f t="shared" si="2"/>
        <v>0</v>
      </c>
      <c r="M61" s="78" t="s">
        <v>104</v>
      </c>
      <c r="Z61" s="76">
        <f t="shared" si="3"/>
        <v>0</v>
      </c>
      <c r="AB61" s="76">
        <f t="shared" si="4"/>
        <v>0</v>
      </c>
      <c r="AC61" s="76">
        <f t="shared" si="5"/>
        <v>0</v>
      </c>
      <c r="AD61" s="76">
        <f t="shared" si="6"/>
        <v>0</v>
      </c>
      <c r="AE61" s="76">
        <f t="shared" si="7"/>
        <v>0</v>
      </c>
      <c r="AF61" s="76">
        <f t="shared" si="8"/>
        <v>0</v>
      </c>
      <c r="AG61" s="76">
        <f t="shared" si="9"/>
        <v>0</v>
      </c>
      <c r="AH61" s="76">
        <f t="shared" si="10"/>
        <v>0</v>
      </c>
      <c r="AI61" s="62" t="s">
        <v>99</v>
      </c>
      <c r="AJ61" s="76">
        <f t="shared" si="11"/>
        <v>0</v>
      </c>
      <c r="AK61" s="76">
        <f t="shared" si="12"/>
        <v>0</v>
      </c>
      <c r="AL61" s="76">
        <f t="shared" si="13"/>
        <v>0</v>
      </c>
      <c r="AN61" s="76">
        <v>21</v>
      </c>
      <c r="AO61" s="76">
        <f>I61*0.863834004920383</f>
        <v>0</v>
      </c>
      <c r="AP61" s="76">
        <f>I61*(1-0.863834004920383)</f>
        <v>0</v>
      </c>
      <c r="AQ61" s="79" t="s">
        <v>105</v>
      </c>
      <c r="AV61" s="76">
        <f t="shared" si="16"/>
        <v>0</v>
      </c>
      <c r="AW61" s="76">
        <f t="shared" si="17"/>
        <v>0</v>
      </c>
      <c r="AX61" s="76">
        <f t="shared" si="18"/>
        <v>0</v>
      </c>
      <c r="AY61" s="79" t="s">
        <v>115</v>
      </c>
      <c r="AZ61" s="79" t="s">
        <v>116</v>
      </c>
      <c r="BA61" s="62" t="s">
        <v>108</v>
      </c>
      <c r="BC61" s="76">
        <f t="shared" si="19"/>
        <v>0</v>
      </c>
      <c r="BD61" s="76">
        <f t="shared" si="20"/>
        <v>0</v>
      </c>
      <c r="BE61" s="76">
        <v>0</v>
      </c>
      <c r="BF61" s="76">
        <f>61</f>
        <v>61</v>
      </c>
      <c r="BH61" s="76">
        <f t="shared" si="21"/>
        <v>0</v>
      </c>
      <c r="BI61" s="76">
        <f t="shared" si="22"/>
        <v>0</v>
      </c>
      <c r="BJ61" s="76">
        <f t="shared" si="23"/>
        <v>0</v>
      </c>
      <c r="BK61" s="76"/>
      <c r="BL61" s="76">
        <v>722</v>
      </c>
    </row>
    <row r="62" spans="1:64" ht="15" customHeight="1">
      <c r="A62" s="75" t="s">
        <v>243</v>
      </c>
      <c r="B62" s="14" t="s">
        <v>244</v>
      </c>
      <c r="C62" s="14" t="s">
        <v>245</v>
      </c>
      <c r="D62" s="14"/>
      <c r="E62" s="14"/>
      <c r="F62" s="14"/>
      <c r="G62" s="14" t="s">
        <v>103</v>
      </c>
      <c r="H62" s="76">
        <v>1</v>
      </c>
      <c r="I62" s="77">
        <v>0</v>
      </c>
      <c r="J62" s="76">
        <f t="shared" si="0"/>
        <v>0</v>
      </c>
      <c r="K62" s="76">
        <f t="shared" si="1"/>
        <v>0</v>
      </c>
      <c r="L62" s="76">
        <f t="shared" si="2"/>
        <v>0</v>
      </c>
      <c r="M62" s="78" t="s">
        <v>104</v>
      </c>
      <c r="Z62" s="76">
        <f t="shared" si="3"/>
        <v>0</v>
      </c>
      <c r="AB62" s="76">
        <f t="shared" si="4"/>
        <v>0</v>
      </c>
      <c r="AC62" s="76">
        <f t="shared" si="5"/>
        <v>0</v>
      </c>
      <c r="AD62" s="76">
        <f t="shared" si="6"/>
        <v>0</v>
      </c>
      <c r="AE62" s="76">
        <f t="shared" si="7"/>
        <v>0</v>
      </c>
      <c r="AF62" s="76">
        <f t="shared" si="8"/>
        <v>0</v>
      </c>
      <c r="AG62" s="76">
        <f t="shared" si="9"/>
        <v>0</v>
      </c>
      <c r="AH62" s="76">
        <f t="shared" si="10"/>
        <v>0</v>
      </c>
      <c r="AI62" s="62" t="s">
        <v>99</v>
      </c>
      <c r="AJ62" s="76">
        <f t="shared" si="11"/>
        <v>0</v>
      </c>
      <c r="AK62" s="76">
        <f t="shared" si="12"/>
        <v>0</v>
      </c>
      <c r="AL62" s="76">
        <f t="shared" si="13"/>
        <v>0</v>
      </c>
      <c r="AN62" s="76">
        <v>21</v>
      </c>
      <c r="AO62" s="76">
        <f>I62*0.842611202635914</f>
        <v>0</v>
      </c>
      <c r="AP62" s="76">
        <f>I62*(1-0.842611202635914)</f>
        <v>0</v>
      </c>
      <c r="AQ62" s="79" t="s">
        <v>105</v>
      </c>
      <c r="AV62" s="76">
        <f t="shared" si="16"/>
        <v>0</v>
      </c>
      <c r="AW62" s="76">
        <f t="shared" si="17"/>
        <v>0</v>
      </c>
      <c r="AX62" s="76">
        <f t="shared" si="18"/>
        <v>0</v>
      </c>
      <c r="AY62" s="79" t="s">
        <v>115</v>
      </c>
      <c r="AZ62" s="79" t="s">
        <v>116</v>
      </c>
      <c r="BA62" s="62" t="s">
        <v>108</v>
      </c>
      <c r="BC62" s="76">
        <f t="shared" si="19"/>
        <v>0</v>
      </c>
      <c r="BD62" s="76">
        <f t="shared" si="20"/>
        <v>0</v>
      </c>
      <c r="BE62" s="76">
        <v>0</v>
      </c>
      <c r="BF62" s="76">
        <f>62</f>
        <v>62</v>
      </c>
      <c r="BH62" s="76">
        <f t="shared" si="21"/>
        <v>0</v>
      </c>
      <c r="BI62" s="76">
        <f t="shared" si="22"/>
        <v>0</v>
      </c>
      <c r="BJ62" s="76">
        <f t="shared" si="23"/>
        <v>0</v>
      </c>
      <c r="BK62" s="76"/>
      <c r="BL62" s="76">
        <v>722</v>
      </c>
    </row>
    <row r="63" spans="1:64" ht="15" customHeight="1">
      <c r="A63" s="75" t="s">
        <v>246</v>
      </c>
      <c r="B63" s="14" t="s">
        <v>247</v>
      </c>
      <c r="C63" s="14" t="s">
        <v>248</v>
      </c>
      <c r="D63" s="14"/>
      <c r="E63" s="14"/>
      <c r="F63" s="14"/>
      <c r="G63" s="14" t="s">
        <v>103</v>
      </c>
      <c r="H63" s="76">
        <v>5</v>
      </c>
      <c r="I63" s="77">
        <v>0</v>
      </c>
      <c r="J63" s="76">
        <f t="shared" si="0"/>
        <v>0</v>
      </c>
      <c r="K63" s="76">
        <f t="shared" si="1"/>
        <v>0</v>
      </c>
      <c r="L63" s="76">
        <f t="shared" si="2"/>
        <v>0</v>
      </c>
      <c r="M63" s="78" t="s">
        <v>104</v>
      </c>
      <c r="Z63" s="76">
        <f t="shared" si="3"/>
        <v>0</v>
      </c>
      <c r="AB63" s="76">
        <f t="shared" si="4"/>
        <v>0</v>
      </c>
      <c r="AC63" s="76">
        <f t="shared" si="5"/>
        <v>0</v>
      </c>
      <c r="AD63" s="76">
        <f t="shared" si="6"/>
        <v>0</v>
      </c>
      <c r="AE63" s="76">
        <f t="shared" si="7"/>
        <v>0</v>
      </c>
      <c r="AF63" s="76">
        <f t="shared" si="8"/>
        <v>0</v>
      </c>
      <c r="AG63" s="76">
        <f t="shared" si="9"/>
        <v>0</v>
      </c>
      <c r="AH63" s="76">
        <f t="shared" si="10"/>
        <v>0</v>
      </c>
      <c r="AI63" s="62" t="s">
        <v>99</v>
      </c>
      <c r="AJ63" s="76">
        <f t="shared" si="11"/>
        <v>0</v>
      </c>
      <c r="AK63" s="76">
        <f t="shared" si="12"/>
        <v>0</v>
      </c>
      <c r="AL63" s="76">
        <f t="shared" si="13"/>
        <v>0</v>
      </c>
      <c r="AN63" s="76">
        <v>21</v>
      </c>
      <c r="AO63" s="76">
        <f>I63*0.825065710872163</f>
        <v>0</v>
      </c>
      <c r="AP63" s="76">
        <f>I63*(1-0.825065710872163)</f>
        <v>0</v>
      </c>
      <c r="AQ63" s="79" t="s">
        <v>105</v>
      </c>
      <c r="AV63" s="76">
        <f t="shared" si="16"/>
        <v>0</v>
      </c>
      <c r="AW63" s="76">
        <f t="shared" si="17"/>
        <v>0</v>
      </c>
      <c r="AX63" s="76">
        <f t="shared" si="18"/>
        <v>0</v>
      </c>
      <c r="AY63" s="79" t="s">
        <v>115</v>
      </c>
      <c r="AZ63" s="79" t="s">
        <v>116</v>
      </c>
      <c r="BA63" s="62" t="s">
        <v>108</v>
      </c>
      <c r="BC63" s="76">
        <f t="shared" si="19"/>
        <v>0</v>
      </c>
      <c r="BD63" s="76">
        <f t="shared" si="20"/>
        <v>0</v>
      </c>
      <c r="BE63" s="76">
        <v>0</v>
      </c>
      <c r="BF63" s="76">
        <f>63</f>
        <v>63</v>
      </c>
      <c r="BH63" s="76">
        <f t="shared" si="21"/>
        <v>0</v>
      </c>
      <c r="BI63" s="76">
        <f t="shared" si="22"/>
        <v>0</v>
      </c>
      <c r="BJ63" s="76">
        <f t="shared" si="23"/>
        <v>0</v>
      </c>
      <c r="BK63" s="76"/>
      <c r="BL63" s="76">
        <v>722</v>
      </c>
    </row>
    <row r="64" spans="1:64" ht="15" customHeight="1">
      <c r="A64" s="75" t="s">
        <v>249</v>
      </c>
      <c r="B64" s="14" t="s">
        <v>250</v>
      </c>
      <c r="C64" s="14" t="s">
        <v>251</v>
      </c>
      <c r="D64" s="14"/>
      <c r="E64" s="14"/>
      <c r="F64" s="14"/>
      <c r="G64" s="14" t="s">
        <v>103</v>
      </c>
      <c r="H64" s="76">
        <v>1</v>
      </c>
      <c r="I64" s="77">
        <v>0</v>
      </c>
      <c r="J64" s="76">
        <f t="shared" si="0"/>
        <v>0</v>
      </c>
      <c r="K64" s="76">
        <f t="shared" si="1"/>
        <v>0</v>
      </c>
      <c r="L64" s="76">
        <f t="shared" si="2"/>
        <v>0</v>
      </c>
      <c r="M64" s="78" t="s">
        <v>104</v>
      </c>
      <c r="Z64" s="76">
        <f t="shared" si="3"/>
        <v>0</v>
      </c>
      <c r="AB64" s="76">
        <f t="shared" si="4"/>
        <v>0</v>
      </c>
      <c r="AC64" s="76">
        <f t="shared" si="5"/>
        <v>0</v>
      </c>
      <c r="AD64" s="76">
        <f t="shared" si="6"/>
        <v>0</v>
      </c>
      <c r="AE64" s="76">
        <f t="shared" si="7"/>
        <v>0</v>
      </c>
      <c r="AF64" s="76">
        <f t="shared" si="8"/>
        <v>0</v>
      </c>
      <c r="AG64" s="76">
        <f t="shared" si="9"/>
        <v>0</v>
      </c>
      <c r="AH64" s="76">
        <f t="shared" si="10"/>
        <v>0</v>
      </c>
      <c r="AI64" s="62" t="s">
        <v>99</v>
      </c>
      <c r="AJ64" s="76">
        <f t="shared" si="11"/>
        <v>0</v>
      </c>
      <c r="AK64" s="76">
        <f t="shared" si="12"/>
        <v>0</v>
      </c>
      <c r="AL64" s="76">
        <f t="shared" si="13"/>
        <v>0</v>
      </c>
      <c r="AN64" s="76">
        <v>21</v>
      </c>
      <c r="AO64" s="76">
        <f>I64*0.807523364485981</f>
        <v>0</v>
      </c>
      <c r="AP64" s="76">
        <f>I64*(1-0.807523364485981)</f>
        <v>0</v>
      </c>
      <c r="AQ64" s="79" t="s">
        <v>105</v>
      </c>
      <c r="AV64" s="76">
        <f t="shared" si="16"/>
        <v>0</v>
      </c>
      <c r="AW64" s="76">
        <f t="shared" si="17"/>
        <v>0</v>
      </c>
      <c r="AX64" s="76">
        <f t="shared" si="18"/>
        <v>0</v>
      </c>
      <c r="AY64" s="79" t="s">
        <v>115</v>
      </c>
      <c r="AZ64" s="79" t="s">
        <v>116</v>
      </c>
      <c r="BA64" s="62" t="s">
        <v>108</v>
      </c>
      <c r="BC64" s="76">
        <f t="shared" si="19"/>
        <v>0</v>
      </c>
      <c r="BD64" s="76">
        <f t="shared" si="20"/>
        <v>0</v>
      </c>
      <c r="BE64" s="76">
        <v>0</v>
      </c>
      <c r="BF64" s="76">
        <f>64</f>
        <v>64</v>
      </c>
      <c r="BH64" s="76">
        <f t="shared" si="21"/>
        <v>0</v>
      </c>
      <c r="BI64" s="76">
        <f t="shared" si="22"/>
        <v>0</v>
      </c>
      <c r="BJ64" s="76">
        <f t="shared" si="23"/>
        <v>0</v>
      </c>
      <c r="BK64" s="76"/>
      <c r="BL64" s="76">
        <v>722</v>
      </c>
    </row>
    <row r="65" spans="1:64" ht="15" customHeight="1">
      <c r="A65" s="75" t="s">
        <v>252</v>
      </c>
      <c r="B65" s="14" t="s">
        <v>253</v>
      </c>
      <c r="C65" s="14" t="s">
        <v>254</v>
      </c>
      <c r="D65" s="14"/>
      <c r="E65" s="14"/>
      <c r="F65" s="14"/>
      <c r="G65" s="14" t="s">
        <v>103</v>
      </c>
      <c r="H65" s="76">
        <v>2</v>
      </c>
      <c r="I65" s="77">
        <v>0</v>
      </c>
      <c r="J65" s="76">
        <f t="shared" si="0"/>
        <v>0</v>
      </c>
      <c r="K65" s="76">
        <f t="shared" si="1"/>
        <v>0</v>
      </c>
      <c r="L65" s="76">
        <f t="shared" si="2"/>
        <v>0</v>
      </c>
      <c r="M65" s="78" t="s">
        <v>104</v>
      </c>
      <c r="Z65" s="76">
        <f t="shared" si="3"/>
        <v>0</v>
      </c>
      <c r="AB65" s="76">
        <f t="shared" si="4"/>
        <v>0</v>
      </c>
      <c r="AC65" s="76">
        <f t="shared" si="5"/>
        <v>0</v>
      </c>
      <c r="AD65" s="76">
        <f t="shared" si="6"/>
        <v>0</v>
      </c>
      <c r="AE65" s="76">
        <f t="shared" si="7"/>
        <v>0</v>
      </c>
      <c r="AF65" s="76">
        <f t="shared" si="8"/>
        <v>0</v>
      </c>
      <c r="AG65" s="76">
        <f t="shared" si="9"/>
        <v>0</v>
      </c>
      <c r="AH65" s="76">
        <f t="shared" si="10"/>
        <v>0</v>
      </c>
      <c r="AI65" s="62" t="s">
        <v>99</v>
      </c>
      <c r="AJ65" s="76">
        <f t="shared" si="11"/>
        <v>0</v>
      </c>
      <c r="AK65" s="76">
        <f t="shared" si="12"/>
        <v>0</v>
      </c>
      <c r="AL65" s="76">
        <f t="shared" si="13"/>
        <v>0</v>
      </c>
      <c r="AN65" s="76">
        <v>21</v>
      </c>
      <c r="AO65" s="76">
        <f>I65*0.973276414087513</f>
        <v>0</v>
      </c>
      <c r="AP65" s="76">
        <f>I65*(1-0.973276414087513)</f>
        <v>0</v>
      </c>
      <c r="AQ65" s="79" t="s">
        <v>105</v>
      </c>
      <c r="AV65" s="76">
        <f t="shared" si="16"/>
        <v>0</v>
      </c>
      <c r="AW65" s="76">
        <f t="shared" si="17"/>
        <v>0</v>
      </c>
      <c r="AX65" s="76">
        <f t="shared" si="18"/>
        <v>0</v>
      </c>
      <c r="AY65" s="79" t="s">
        <v>115</v>
      </c>
      <c r="AZ65" s="79" t="s">
        <v>116</v>
      </c>
      <c r="BA65" s="62" t="s">
        <v>108</v>
      </c>
      <c r="BC65" s="76">
        <f t="shared" si="19"/>
        <v>0</v>
      </c>
      <c r="BD65" s="76">
        <f t="shared" si="20"/>
        <v>0</v>
      </c>
      <c r="BE65" s="76">
        <v>0</v>
      </c>
      <c r="BF65" s="76">
        <f>65</f>
        <v>65</v>
      </c>
      <c r="BH65" s="76">
        <f t="shared" si="21"/>
        <v>0</v>
      </c>
      <c r="BI65" s="76">
        <f t="shared" si="22"/>
        <v>0</v>
      </c>
      <c r="BJ65" s="76">
        <f t="shared" si="23"/>
        <v>0</v>
      </c>
      <c r="BK65" s="76"/>
      <c r="BL65" s="76">
        <v>722</v>
      </c>
    </row>
    <row r="66" spans="1:64" ht="15" customHeight="1">
      <c r="A66" s="75" t="s">
        <v>255</v>
      </c>
      <c r="B66" s="14" t="s">
        <v>256</v>
      </c>
      <c r="C66" s="14" t="s">
        <v>257</v>
      </c>
      <c r="D66" s="14"/>
      <c r="E66" s="14"/>
      <c r="F66" s="14"/>
      <c r="G66" s="14" t="s">
        <v>103</v>
      </c>
      <c r="H66" s="76">
        <v>1</v>
      </c>
      <c r="I66" s="77">
        <v>0</v>
      </c>
      <c r="J66" s="76">
        <f t="shared" si="0"/>
        <v>0</v>
      </c>
      <c r="K66" s="76">
        <f t="shared" si="1"/>
        <v>0</v>
      </c>
      <c r="L66" s="76">
        <f t="shared" si="2"/>
        <v>0</v>
      </c>
      <c r="M66" s="78" t="s">
        <v>104</v>
      </c>
      <c r="Z66" s="76">
        <f t="shared" si="3"/>
        <v>0</v>
      </c>
      <c r="AB66" s="76">
        <f t="shared" si="4"/>
        <v>0</v>
      </c>
      <c r="AC66" s="76">
        <f t="shared" si="5"/>
        <v>0</v>
      </c>
      <c r="AD66" s="76">
        <f t="shared" si="6"/>
        <v>0</v>
      </c>
      <c r="AE66" s="76">
        <f t="shared" si="7"/>
        <v>0</v>
      </c>
      <c r="AF66" s="76">
        <f t="shared" si="8"/>
        <v>0</v>
      </c>
      <c r="AG66" s="76">
        <f t="shared" si="9"/>
        <v>0</v>
      </c>
      <c r="AH66" s="76">
        <f t="shared" si="10"/>
        <v>0</v>
      </c>
      <c r="AI66" s="62" t="s">
        <v>99</v>
      </c>
      <c r="AJ66" s="76">
        <f t="shared" si="11"/>
        <v>0</v>
      </c>
      <c r="AK66" s="76">
        <f t="shared" si="12"/>
        <v>0</v>
      </c>
      <c r="AL66" s="76">
        <f t="shared" si="13"/>
        <v>0</v>
      </c>
      <c r="AN66" s="76">
        <v>21</v>
      </c>
      <c r="AO66" s="76">
        <f>I66*0.952283609576427</f>
        <v>0</v>
      </c>
      <c r="AP66" s="76">
        <f>I66*(1-0.952283609576427)</f>
        <v>0</v>
      </c>
      <c r="AQ66" s="79" t="s">
        <v>105</v>
      </c>
      <c r="AV66" s="76">
        <f t="shared" si="16"/>
        <v>0</v>
      </c>
      <c r="AW66" s="76">
        <f t="shared" si="17"/>
        <v>0</v>
      </c>
      <c r="AX66" s="76">
        <f t="shared" si="18"/>
        <v>0</v>
      </c>
      <c r="AY66" s="79" t="s">
        <v>115</v>
      </c>
      <c r="AZ66" s="79" t="s">
        <v>116</v>
      </c>
      <c r="BA66" s="62" t="s">
        <v>108</v>
      </c>
      <c r="BC66" s="76">
        <f t="shared" si="19"/>
        <v>0</v>
      </c>
      <c r="BD66" s="76">
        <f t="shared" si="20"/>
        <v>0</v>
      </c>
      <c r="BE66" s="76">
        <v>0</v>
      </c>
      <c r="BF66" s="76">
        <f>66</f>
        <v>66</v>
      </c>
      <c r="BH66" s="76">
        <f t="shared" si="21"/>
        <v>0</v>
      </c>
      <c r="BI66" s="76">
        <f t="shared" si="22"/>
        <v>0</v>
      </c>
      <c r="BJ66" s="76">
        <f t="shared" si="23"/>
        <v>0</v>
      </c>
      <c r="BK66" s="76"/>
      <c r="BL66" s="76">
        <v>722</v>
      </c>
    </row>
    <row r="67" spans="1:64" ht="15" customHeight="1">
      <c r="A67" s="75" t="s">
        <v>258</v>
      </c>
      <c r="B67" s="14" t="s">
        <v>259</v>
      </c>
      <c r="C67" s="14" t="s">
        <v>260</v>
      </c>
      <c r="D67" s="14"/>
      <c r="E67" s="14"/>
      <c r="F67" s="14"/>
      <c r="G67" s="14" t="s">
        <v>103</v>
      </c>
      <c r="H67" s="76">
        <v>7</v>
      </c>
      <c r="I67" s="77">
        <v>0</v>
      </c>
      <c r="J67" s="76">
        <f t="shared" si="0"/>
        <v>0</v>
      </c>
      <c r="K67" s="76">
        <f t="shared" si="1"/>
        <v>0</v>
      </c>
      <c r="L67" s="76">
        <f t="shared" si="2"/>
        <v>0</v>
      </c>
      <c r="M67" s="78" t="s">
        <v>104</v>
      </c>
      <c r="Z67" s="76">
        <f t="shared" si="3"/>
        <v>0</v>
      </c>
      <c r="AB67" s="76">
        <f t="shared" si="4"/>
        <v>0</v>
      </c>
      <c r="AC67" s="76">
        <f t="shared" si="5"/>
        <v>0</v>
      </c>
      <c r="AD67" s="76">
        <f t="shared" si="6"/>
        <v>0</v>
      </c>
      <c r="AE67" s="76">
        <f t="shared" si="7"/>
        <v>0</v>
      </c>
      <c r="AF67" s="76">
        <f t="shared" si="8"/>
        <v>0</v>
      </c>
      <c r="AG67" s="76">
        <f t="shared" si="9"/>
        <v>0</v>
      </c>
      <c r="AH67" s="76">
        <f t="shared" si="10"/>
        <v>0</v>
      </c>
      <c r="AI67" s="62" t="s">
        <v>99</v>
      </c>
      <c r="AJ67" s="76">
        <f t="shared" si="11"/>
        <v>0</v>
      </c>
      <c r="AK67" s="76">
        <f t="shared" si="12"/>
        <v>0</v>
      </c>
      <c r="AL67" s="76">
        <f t="shared" si="13"/>
        <v>0</v>
      </c>
      <c r="AN67" s="76">
        <v>21</v>
      </c>
      <c r="AO67" s="76">
        <f aca="true" t="shared" si="28" ref="AO67:AO68">I67*0.932406561697194</f>
        <v>0</v>
      </c>
      <c r="AP67" s="76">
        <f aca="true" t="shared" si="29" ref="AP67:AP68">I67*(1-0.932406561697194)</f>
        <v>0</v>
      </c>
      <c r="AQ67" s="79" t="s">
        <v>105</v>
      </c>
      <c r="AV67" s="76">
        <f t="shared" si="16"/>
        <v>0</v>
      </c>
      <c r="AW67" s="76">
        <f t="shared" si="17"/>
        <v>0</v>
      </c>
      <c r="AX67" s="76">
        <f t="shared" si="18"/>
        <v>0</v>
      </c>
      <c r="AY67" s="79" t="s">
        <v>115</v>
      </c>
      <c r="AZ67" s="79" t="s">
        <v>116</v>
      </c>
      <c r="BA67" s="62" t="s">
        <v>108</v>
      </c>
      <c r="BC67" s="76">
        <f t="shared" si="19"/>
        <v>0</v>
      </c>
      <c r="BD67" s="76">
        <f t="shared" si="20"/>
        <v>0</v>
      </c>
      <c r="BE67" s="76">
        <v>0</v>
      </c>
      <c r="BF67" s="76">
        <f>67</f>
        <v>67</v>
      </c>
      <c r="BH67" s="76">
        <f t="shared" si="21"/>
        <v>0</v>
      </c>
      <c r="BI67" s="76">
        <f t="shared" si="22"/>
        <v>0</v>
      </c>
      <c r="BJ67" s="76">
        <f t="shared" si="23"/>
        <v>0</v>
      </c>
      <c r="BK67" s="76"/>
      <c r="BL67" s="76">
        <v>722</v>
      </c>
    </row>
    <row r="68" spans="1:64" ht="15" customHeight="1">
      <c r="A68" s="75" t="s">
        <v>261</v>
      </c>
      <c r="B68" s="14" t="s">
        <v>259</v>
      </c>
      <c r="C68" s="14" t="s">
        <v>260</v>
      </c>
      <c r="D68" s="14"/>
      <c r="E68" s="14"/>
      <c r="F68" s="14"/>
      <c r="G68" s="14" t="s">
        <v>103</v>
      </c>
      <c r="H68" s="76">
        <v>10</v>
      </c>
      <c r="I68" s="77">
        <v>0</v>
      </c>
      <c r="J68" s="76">
        <f t="shared" si="0"/>
        <v>0</v>
      </c>
      <c r="K68" s="76">
        <f t="shared" si="1"/>
        <v>0</v>
      </c>
      <c r="L68" s="76">
        <f t="shared" si="2"/>
        <v>0</v>
      </c>
      <c r="M68" s="78" t="s">
        <v>104</v>
      </c>
      <c r="Z68" s="76">
        <f t="shared" si="3"/>
        <v>0</v>
      </c>
      <c r="AB68" s="76">
        <f t="shared" si="4"/>
        <v>0</v>
      </c>
      <c r="AC68" s="76">
        <f t="shared" si="5"/>
        <v>0</v>
      </c>
      <c r="AD68" s="76">
        <f t="shared" si="6"/>
        <v>0</v>
      </c>
      <c r="AE68" s="76">
        <f t="shared" si="7"/>
        <v>0</v>
      </c>
      <c r="AF68" s="76">
        <f t="shared" si="8"/>
        <v>0</v>
      </c>
      <c r="AG68" s="76">
        <f t="shared" si="9"/>
        <v>0</v>
      </c>
      <c r="AH68" s="76">
        <f t="shared" si="10"/>
        <v>0</v>
      </c>
      <c r="AI68" s="62" t="s">
        <v>99</v>
      </c>
      <c r="AJ68" s="76">
        <f t="shared" si="11"/>
        <v>0</v>
      </c>
      <c r="AK68" s="76">
        <f t="shared" si="12"/>
        <v>0</v>
      </c>
      <c r="AL68" s="76">
        <f t="shared" si="13"/>
        <v>0</v>
      </c>
      <c r="AN68" s="76">
        <v>21</v>
      </c>
      <c r="AO68" s="76">
        <f t="shared" si="28"/>
        <v>0</v>
      </c>
      <c r="AP68" s="76">
        <f t="shared" si="29"/>
        <v>0</v>
      </c>
      <c r="AQ68" s="79" t="s">
        <v>105</v>
      </c>
      <c r="AV68" s="76">
        <f t="shared" si="16"/>
        <v>0</v>
      </c>
      <c r="AW68" s="76">
        <f t="shared" si="17"/>
        <v>0</v>
      </c>
      <c r="AX68" s="76">
        <f t="shared" si="18"/>
        <v>0</v>
      </c>
      <c r="AY68" s="79" t="s">
        <v>115</v>
      </c>
      <c r="AZ68" s="79" t="s">
        <v>116</v>
      </c>
      <c r="BA68" s="62" t="s">
        <v>108</v>
      </c>
      <c r="BC68" s="76">
        <f t="shared" si="19"/>
        <v>0</v>
      </c>
      <c r="BD68" s="76">
        <f t="shared" si="20"/>
        <v>0</v>
      </c>
      <c r="BE68" s="76">
        <v>0</v>
      </c>
      <c r="BF68" s="76">
        <f>68</f>
        <v>68</v>
      </c>
      <c r="BH68" s="76">
        <f t="shared" si="21"/>
        <v>0</v>
      </c>
      <c r="BI68" s="76">
        <f t="shared" si="22"/>
        <v>0</v>
      </c>
      <c r="BJ68" s="76">
        <f t="shared" si="23"/>
        <v>0</v>
      </c>
      <c r="BK68" s="76"/>
      <c r="BL68" s="76">
        <v>722</v>
      </c>
    </row>
    <row r="69" spans="1:64" ht="15" customHeight="1">
      <c r="A69" s="75" t="s">
        <v>262</v>
      </c>
      <c r="B69" s="14" t="s">
        <v>263</v>
      </c>
      <c r="C69" s="14" t="s">
        <v>264</v>
      </c>
      <c r="D69" s="14"/>
      <c r="E69" s="14"/>
      <c r="F69" s="14"/>
      <c r="G69" s="14" t="s">
        <v>103</v>
      </c>
      <c r="H69" s="76">
        <v>4</v>
      </c>
      <c r="I69" s="77">
        <v>0</v>
      </c>
      <c r="J69" s="76">
        <f t="shared" si="0"/>
        <v>0</v>
      </c>
      <c r="K69" s="76">
        <f t="shared" si="1"/>
        <v>0</v>
      </c>
      <c r="L69" s="76">
        <f t="shared" si="2"/>
        <v>0</v>
      </c>
      <c r="M69" s="78" t="s">
        <v>104</v>
      </c>
      <c r="Z69" s="76">
        <f t="shared" si="3"/>
        <v>0</v>
      </c>
      <c r="AB69" s="76">
        <f t="shared" si="4"/>
        <v>0</v>
      </c>
      <c r="AC69" s="76">
        <f t="shared" si="5"/>
        <v>0</v>
      </c>
      <c r="AD69" s="76">
        <f t="shared" si="6"/>
        <v>0</v>
      </c>
      <c r="AE69" s="76">
        <f t="shared" si="7"/>
        <v>0</v>
      </c>
      <c r="AF69" s="76">
        <f t="shared" si="8"/>
        <v>0</v>
      </c>
      <c r="AG69" s="76">
        <f t="shared" si="9"/>
        <v>0</v>
      </c>
      <c r="AH69" s="76">
        <f t="shared" si="10"/>
        <v>0</v>
      </c>
      <c r="AI69" s="62" t="s">
        <v>99</v>
      </c>
      <c r="AJ69" s="76">
        <f t="shared" si="11"/>
        <v>0</v>
      </c>
      <c r="AK69" s="76">
        <f t="shared" si="12"/>
        <v>0</v>
      </c>
      <c r="AL69" s="76">
        <f t="shared" si="13"/>
        <v>0</v>
      </c>
      <c r="AN69" s="76">
        <v>21</v>
      </c>
      <c r="AO69" s="76">
        <f>I69*0.915948805460751</f>
        <v>0</v>
      </c>
      <c r="AP69" s="76">
        <f>I69*(1-0.915948805460751)</f>
        <v>0</v>
      </c>
      <c r="AQ69" s="79" t="s">
        <v>105</v>
      </c>
      <c r="AV69" s="76">
        <f t="shared" si="16"/>
        <v>0</v>
      </c>
      <c r="AW69" s="76">
        <f t="shared" si="17"/>
        <v>0</v>
      </c>
      <c r="AX69" s="76">
        <f t="shared" si="18"/>
        <v>0</v>
      </c>
      <c r="AY69" s="79" t="s">
        <v>115</v>
      </c>
      <c r="AZ69" s="79" t="s">
        <v>116</v>
      </c>
      <c r="BA69" s="62" t="s">
        <v>108</v>
      </c>
      <c r="BC69" s="76">
        <f t="shared" si="19"/>
        <v>0</v>
      </c>
      <c r="BD69" s="76">
        <f t="shared" si="20"/>
        <v>0</v>
      </c>
      <c r="BE69" s="76">
        <v>0</v>
      </c>
      <c r="BF69" s="76">
        <f>69</f>
        <v>69</v>
      </c>
      <c r="BH69" s="76">
        <f t="shared" si="21"/>
        <v>0</v>
      </c>
      <c r="BI69" s="76">
        <f t="shared" si="22"/>
        <v>0</v>
      </c>
      <c r="BJ69" s="76">
        <f t="shared" si="23"/>
        <v>0</v>
      </c>
      <c r="BK69" s="76"/>
      <c r="BL69" s="76">
        <v>722</v>
      </c>
    </row>
    <row r="70" spans="1:64" ht="15" customHeight="1">
      <c r="A70" s="75" t="s">
        <v>265</v>
      </c>
      <c r="B70" s="14" t="s">
        <v>266</v>
      </c>
      <c r="C70" s="14" t="s">
        <v>267</v>
      </c>
      <c r="D70" s="14"/>
      <c r="E70" s="14"/>
      <c r="F70" s="14"/>
      <c r="G70" s="14" t="s">
        <v>103</v>
      </c>
      <c r="H70" s="76">
        <v>4</v>
      </c>
      <c r="I70" s="77">
        <v>0</v>
      </c>
      <c r="J70" s="76">
        <f t="shared" si="0"/>
        <v>0</v>
      </c>
      <c r="K70" s="76">
        <f t="shared" si="1"/>
        <v>0</v>
      </c>
      <c r="L70" s="76">
        <f t="shared" si="2"/>
        <v>0</v>
      </c>
      <c r="M70" s="78" t="s">
        <v>104</v>
      </c>
      <c r="Z70" s="76">
        <f t="shared" si="3"/>
        <v>0</v>
      </c>
      <c r="AB70" s="76">
        <f t="shared" si="4"/>
        <v>0</v>
      </c>
      <c r="AC70" s="76">
        <f t="shared" si="5"/>
        <v>0</v>
      </c>
      <c r="AD70" s="76">
        <f t="shared" si="6"/>
        <v>0</v>
      </c>
      <c r="AE70" s="76">
        <f t="shared" si="7"/>
        <v>0</v>
      </c>
      <c r="AF70" s="76">
        <f t="shared" si="8"/>
        <v>0</v>
      </c>
      <c r="AG70" s="76">
        <f t="shared" si="9"/>
        <v>0</v>
      </c>
      <c r="AH70" s="76">
        <f t="shared" si="10"/>
        <v>0</v>
      </c>
      <c r="AI70" s="62" t="s">
        <v>99</v>
      </c>
      <c r="AJ70" s="76">
        <f t="shared" si="11"/>
        <v>0</v>
      </c>
      <c r="AK70" s="76">
        <f t="shared" si="12"/>
        <v>0</v>
      </c>
      <c r="AL70" s="76">
        <f t="shared" si="13"/>
        <v>0</v>
      </c>
      <c r="AN70" s="76">
        <v>21</v>
      </c>
      <c r="AO70" s="76">
        <f>I70*0.90057326695338</f>
        <v>0</v>
      </c>
      <c r="AP70" s="76">
        <f>I70*(1-0.90057326695338)</f>
        <v>0</v>
      </c>
      <c r="AQ70" s="79" t="s">
        <v>105</v>
      </c>
      <c r="AV70" s="76">
        <f t="shared" si="16"/>
        <v>0</v>
      </c>
      <c r="AW70" s="76">
        <f t="shared" si="17"/>
        <v>0</v>
      </c>
      <c r="AX70" s="76">
        <f t="shared" si="18"/>
        <v>0</v>
      </c>
      <c r="AY70" s="79" t="s">
        <v>115</v>
      </c>
      <c r="AZ70" s="79" t="s">
        <v>116</v>
      </c>
      <c r="BA70" s="62" t="s">
        <v>108</v>
      </c>
      <c r="BC70" s="76">
        <f t="shared" si="19"/>
        <v>0</v>
      </c>
      <c r="BD70" s="76">
        <f t="shared" si="20"/>
        <v>0</v>
      </c>
      <c r="BE70" s="76">
        <v>0</v>
      </c>
      <c r="BF70" s="76">
        <f>70</f>
        <v>70</v>
      </c>
      <c r="BH70" s="76">
        <f t="shared" si="21"/>
        <v>0</v>
      </c>
      <c r="BI70" s="76">
        <f t="shared" si="22"/>
        <v>0</v>
      </c>
      <c r="BJ70" s="76">
        <f t="shared" si="23"/>
        <v>0</v>
      </c>
      <c r="BK70" s="76"/>
      <c r="BL70" s="76">
        <v>722</v>
      </c>
    </row>
    <row r="71" spans="1:64" ht="15" customHeight="1">
      <c r="A71" s="75" t="s">
        <v>268</v>
      </c>
      <c r="B71" s="14" t="s">
        <v>269</v>
      </c>
      <c r="C71" s="14" t="s">
        <v>270</v>
      </c>
      <c r="D71" s="14"/>
      <c r="E71" s="14"/>
      <c r="F71" s="14"/>
      <c r="G71" s="14" t="s">
        <v>103</v>
      </c>
      <c r="H71" s="76">
        <v>1</v>
      </c>
      <c r="I71" s="77">
        <v>0</v>
      </c>
      <c r="J71" s="76">
        <f t="shared" si="0"/>
        <v>0</v>
      </c>
      <c r="K71" s="76">
        <f t="shared" si="1"/>
        <v>0</v>
      </c>
      <c r="L71" s="76">
        <f t="shared" si="2"/>
        <v>0</v>
      </c>
      <c r="M71" s="78" t="s">
        <v>104</v>
      </c>
      <c r="Z71" s="76">
        <f t="shared" si="3"/>
        <v>0</v>
      </c>
      <c r="AB71" s="76">
        <f t="shared" si="4"/>
        <v>0</v>
      </c>
      <c r="AC71" s="76">
        <f t="shared" si="5"/>
        <v>0</v>
      </c>
      <c r="AD71" s="76">
        <f t="shared" si="6"/>
        <v>0</v>
      </c>
      <c r="AE71" s="76">
        <f t="shared" si="7"/>
        <v>0</v>
      </c>
      <c r="AF71" s="76">
        <f t="shared" si="8"/>
        <v>0</v>
      </c>
      <c r="AG71" s="76">
        <f t="shared" si="9"/>
        <v>0</v>
      </c>
      <c r="AH71" s="76">
        <f t="shared" si="10"/>
        <v>0</v>
      </c>
      <c r="AI71" s="62" t="s">
        <v>99</v>
      </c>
      <c r="AJ71" s="76">
        <f t="shared" si="11"/>
        <v>0</v>
      </c>
      <c r="AK71" s="76">
        <f t="shared" si="12"/>
        <v>0</v>
      </c>
      <c r="AL71" s="76">
        <f t="shared" si="13"/>
        <v>0</v>
      </c>
      <c r="AN71" s="76">
        <v>21</v>
      </c>
      <c r="AO71" s="76">
        <f>I71*0.87290499537681</f>
        <v>0</v>
      </c>
      <c r="AP71" s="76">
        <f>I71*(1-0.87290499537681)</f>
        <v>0</v>
      </c>
      <c r="AQ71" s="79" t="s">
        <v>105</v>
      </c>
      <c r="AV71" s="76">
        <f t="shared" si="16"/>
        <v>0</v>
      </c>
      <c r="AW71" s="76">
        <f t="shared" si="17"/>
        <v>0</v>
      </c>
      <c r="AX71" s="76">
        <f t="shared" si="18"/>
        <v>0</v>
      </c>
      <c r="AY71" s="79" t="s">
        <v>115</v>
      </c>
      <c r="AZ71" s="79" t="s">
        <v>116</v>
      </c>
      <c r="BA71" s="62" t="s">
        <v>108</v>
      </c>
      <c r="BC71" s="76">
        <f t="shared" si="19"/>
        <v>0</v>
      </c>
      <c r="BD71" s="76">
        <f t="shared" si="20"/>
        <v>0</v>
      </c>
      <c r="BE71" s="76">
        <v>0</v>
      </c>
      <c r="BF71" s="76">
        <f>71</f>
        <v>71</v>
      </c>
      <c r="BH71" s="76">
        <f t="shared" si="21"/>
        <v>0</v>
      </c>
      <c r="BI71" s="76">
        <f t="shared" si="22"/>
        <v>0</v>
      </c>
      <c r="BJ71" s="76">
        <f t="shared" si="23"/>
        <v>0</v>
      </c>
      <c r="BK71" s="76"/>
      <c r="BL71" s="76">
        <v>722</v>
      </c>
    </row>
    <row r="72" spans="1:64" ht="15" customHeight="1">
      <c r="A72" s="75" t="s">
        <v>271</v>
      </c>
      <c r="B72" s="14" t="s">
        <v>272</v>
      </c>
      <c r="C72" s="14" t="s">
        <v>273</v>
      </c>
      <c r="D72" s="14"/>
      <c r="E72" s="14"/>
      <c r="F72" s="14"/>
      <c r="G72" s="14" t="s">
        <v>103</v>
      </c>
      <c r="H72" s="76">
        <v>5</v>
      </c>
      <c r="I72" s="77">
        <v>0</v>
      </c>
      <c r="J72" s="76">
        <f t="shared" si="0"/>
        <v>0</v>
      </c>
      <c r="K72" s="76">
        <f t="shared" si="1"/>
        <v>0</v>
      </c>
      <c r="L72" s="76">
        <f t="shared" si="2"/>
        <v>0</v>
      </c>
      <c r="M72" s="78" t="s">
        <v>104</v>
      </c>
      <c r="Z72" s="76">
        <f t="shared" si="3"/>
        <v>0</v>
      </c>
      <c r="AB72" s="76">
        <f t="shared" si="4"/>
        <v>0</v>
      </c>
      <c r="AC72" s="76">
        <f t="shared" si="5"/>
        <v>0</v>
      </c>
      <c r="AD72" s="76">
        <f t="shared" si="6"/>
        <v>0</v>
      </c>
      <c r="AE72" s="76">
        <f t="shared" si="7"/>
        <v>0</v>
      </c>
      <c r="AF72" s="76">
        <f t="shared" si="8"/>
        <v>0</v>
      </c>
      <c r="AG72" s="76">
        <f t="shared" si="9"/>
        <v>0</v>
      </c>
      <c r="AH72" s="76">
        <f t="shared" si="10"/>
        <v>0</v>
      </c>
      <c r="AI72" s="62" t="s">
        <v>99</v>
      </c>
      <c r="AJ72" s="76">
        <f t="shared" si="11"/>
        <v>0</v>
      </c>
      <c r="AK72" s="76">
        <f t="shared" si="12"/>
        <v>0</v>
      </c>
      <c r="AL72" s="76">
        <f t="shared" si="13"/>
        <v>0</v>
      </c>
      <c r="AN72" s="76">
        <v>21</v>
      </c>
      <c r="AO72" s="76">
        <f>I72*0.856034482758621</f>
        <v>0</v>
      </c>
      <c r="AP72" s="76">
        <f>I72*(1-0.856034482758621)</f>
        <v>0</v>
      </c>
      <c r="AQ72" s="79" t="s">
        <v>105</v>
      </c>
      <c r="AV72" s="76">
        <f t="shared" si="16"/>
        <v>0</v>
      </c>
      <c r="AW72" s="76">
        <f t="shared" si="17"/>
        <v>0</v>
      </c>
      <c r="AX72" s="76">
        <f t="shared" si="18"/>
        <v>0</v>
      </c>
      <c r="AY72" s="79" t="s">
        <v>115</v>
      </c>
      <c r="AZ72" s="79" t="s">
        <v>116</v>
      </c>
      <c r="BA72" s="62" t="s">
        <v>108</v>
      </c>
      <c r="BC72" s="76">
        <f t="shared" si="19"/>
        <v>0</v>
      </c>
      <c r="BD72" s="76">
        <f t="shared" si="20"/>
        <v>0</v>
      </c>
      <c r="BE72" s="76">
        <v>0</v>
      </c>
      <c r="BF72" s="76">
        <f>72</f>
        <v>72</v>
      </c>
      <c r="BH72" s="76">
        <f t="shared" si="21"/>
        <v>0</v>
      </c>
      <c r="BI72" s="76">
        <f t="shared" si="22"/>
        <v>0</v>
      </c>
      <c r="BJ72" s="76">
        <f t="shared" si="23"/>
        <v>0</v>
      </c>
      <c r="BK72" s="76"/>
      <c r="BL72" s="76">
        <v>722</v>
      </c>
    </row>
    <row r="73" spans="1:64" ht="15" customHeight="1">
      <c r="A73" s="75" t="s">
        <v>274</v>
      </c>
      <c r="B73" s="14" t="s">
        <v>275</v>
      </c>
      <c r="C73" s="14" t="s">
        <v>276</v>
      </c>
      <c r="D73" s="14"/>
      <c r="E73" s="14"/>
      <c r="F73" s="14"/>
      <c r="G73" s="14" t="s">
        <v>103</v>
      </c>
      <c r="H73" s="76">
        <v>1</v>
      </c>
      <c r="I73" s="77">
        <v>0</v>
      </c>
      <c r="J73" s="76">
        <f t="shared" si="0"/>
        <v>0</v>
      </c>
      <c r="K73" s="76">
        <f t="shared" si="1"/>
        <v>0</v>
      </c>
      <c r="L73" s="76">
        <f t="shared" si="2"/>
        <v>0</v>
      </c>
      <c r="M73" s="78" t="s">
        <v>104</v>
      </c>
      <c r="Z73" s="76">
        <f t="shared" si="3"/>
        <v>0</v>
      </c>
      <c r="AB73" s="76">
        <f t="shared" si="4"/>
        <v>0</v>
      </c>
      <c r="AC73" s="76">
        <f t="shared" si="5"/>
        <v>0</v>
      </c>
      <c r="AD73" s="76">
        <f t="shared" si="6"/>
        <v>0</v>
      </c>
      <c r="AE73" s="76">
        <f t="shared" si="7"/>
        <v>0</v>
      </c>
      <c r="AF73" s="76">
        <f t="shared" si="8"/>
        <v>0</v>
      </c>
      <c r="AG73" s="76">
        <f t="shared" si="9"/>
        <v>0</v>
      </c>
      <c r="AH73" s="76">
        <f t="shared" si="10"/>
        <v>0</v>
      </c>
      <c r="AI73" s="62" t="s">
        <v>99</v>
      </c>
      <c r="AJ73" s="76">
        <f t="shared" si="11"/>
        <v>0</v>
      </c>
      <c r="AK73" s="76">
        <f t="shared" si="12"/>
        <v>0</v>
      </c>
      <c r="AL73" s="76">
        <f t="shared" si="13"/>
        <v>0</v>
      </c>
      <c r="AN73" s="76">
        <v>21</v>
      </c>
      <c r="AO73" s="76">
        <f>I73*0.841699712205408</f>
        <v>0</v>
      </c>
      <c r="AP73" s="76">
        <f>I73*(1-0.841699712205408)</f>
        <v>0</v>
      </c>
      <c r="AQ73" s="79" t="s">
        <v>105</v>
      </c>
      <c r="AV73" s="76">
        <f t="shared" si="16"/>
        <v>0</v>
      </c>
      <c r="AW73" s="76">
        <f t="shared" si="17"/>
        <v>0</v>
      </c>
      <c r="AX73" s="76">
        <f t="shared" si="18"/>
        <v>0</v>
      </c>
      <c r="AY73" s="79" t="s">
        <v>115</v>
      </c>
      <c r="AZ73" s="79" t="s">
        <v>116</v>
      </c>
      <c r="BA73" s="62" t="s">
        <v>108</v>
      </c>
      <c r="BC73" s="76">
        <f t="shared" si="19"/>
        <v>0</v>
      </c>
      <c r="BD73" s="76">
        <f t="shared" si="20"/>
        <v>0</v>
      </c>
      <c r="BE73" s="76">
        <v>0</v>
      </c>
      <c r="BF73" s="76">
        <f>73</f>
        <v>73</v>
      </c>
      <c r="BH73" s="76">
        <f t="shared" si="21"/>
        <v>0</v>
      </c>
      <c r="BI73" s="76">
        <f t="shared" si="22"/>
        <v>0</v>
      </c>
      <c r="BJ73" s="76">
        <f t="shared" si="23"/>
        <v>0</v>
      </c>
      <c r="BK73" s="76"/>
      <c r="BL73" s="76">
        <v>722</v>
      </c>
    </row>
    <row r="74" spans="1:64" ht="15" customHeight="1">
      <c r="A74" s="75" t="s">
        <v>277</v>
      </c>
      <c r="B74" s="14" t="s">
        <v>278</v>
      </c>
      <c r="C74" s="14" t="s">
        <v>279</v>
      </c>
      <c r="D74" s="14"/>
      <c r="E74" s="14"/>
      <c r="F74" s="14"/>
      <c r="G74" s="14" t="s">
        <v>103</v>
      </c>
      <c r="H74" s="76">
        <v>13</v>
      </c>
      <c r="I74" s="77">
        <v>0</v>
      </c>
      <c r="J74" s="76">
        <f t="shared" si="0"/>
        <v>0</v>
      </c>
      <c r="K74" s="76">
        <f t="shared" si="1"/>
        <v>0</v>
      </c>
      <c r="L74" s="76">
        <f t="shared" si="2"/>
        <v>0</v>
      </c>
      <c r="M74" s="78" t="s">
        <v>104</v>
      </c>
      <c r="Z74" s="76">
        <f t="shared" si="3"/>
        <v>0</v>
      </c>
      <c r="AB74" s="76">
        <f t="shared" si="4"/>
        <v>0</v>
      </c>
      <c r="AC74" s="76">
        <f t="shared" si="5"/>
        <v>0</v>
      </c>
      <c r="AD74" s="76">
        <f t="shared" si="6"/>
        <v>0</v>
      </c>
      <c r="AE74" s="76">
        <f t="shared" si="7"/>
        <v>0</v>
      </c>
      <c r="AF74" s="76">
        <f t="shared" si="8"/>
        <v>0</v>
      </c>
      <c r="AG74" s="76">
        <f t="shared" si="9"/>
        <v>0</v>
      </c>
      <c r="AH74" s="76">
        <f t="shared" si="10"/>
        <v>0</v>
      </c>
      <c r="AI74" s="62" t="s">
        <v>99</v>
      </c>
      <c r="AJ74" s="76">
        <f t="shared" si="11"/>
        <v>0</v>
      </c>
      <c r="AK74" s="76">
        <f t="shared" si="12"/>
        <v>0</v>
      </c>
      <c r="AL74" s="76">
        <f t="shared" si="13"/>
        <v>0</v>
      </c>
      <c r="AN74" s="76">
        <v>21</v>
      </c>
      <c r="AO74" s="76">
        <f>I74*0.00607219451693755</f>
        <v>0</v>
      </c>
      <c r="AP74" s="76">
        <f>I74*(1-0.00607219451693755)</f>
        <v>0</v>
      </c>
      <c r="AQ74" s="79" t="s">
        <v>105</v>
      </c>
      <c r="AV74" s="76">
        <f t="shared" si="16"/>
        <v>0</v>
      </c>
      <c r="AW74" s="76">
        <f t="shared" si="17"/>
        <v>0</v>
      </c>
      <c r="AX74" s="76">
        <f t="shared" si="18"/>
        <v>0</v>
      </c>
      <c r="AY74" s="79" t="s">
        <v>115</v>
      </c>
      <c r="AZ74" s="79" t="s">
        <v>116</v>
      </c>
      <c r="BA74" s="62" t="s">
        <v>108</v>
      </c>
      <c r="BC74" s="76">
        <f t="shared" si="19"/>
        <v>0</v>
      </c>
      <c r="BD74" s="76">
        <f t="shared" si="20"/>
        <v>0</v>
      </c>
      <c r="BE74" s="76">
        <v>0</v>
      </c>
      <c r="BF74" s="76">
        <f>74</f>
        <v>74</v>
      </c>
      <c r="BH74" s="76">
        <f t="shared" si="21"/>
        <v>0</v>
      </c>
      <c r="BI74" s="76">
        <f t="shared" si="22"/>
        <v>0</v>
      </c>
      <c r="BJ74" s="76">
        <f t="shared" si="23"/>
        <v>0</v>
      </c>
      <c r="BK74" s="76"/>
      <c r="BL74" s="76">
        <v>722</v>
      </c>
    </row>
    <row r="75" spans="1:64" ht="15" customHeight="1">
      <c r="A75" s="75" t="s">
        <v>280</v>
      </c>
      <c r="B75" s="14" t="s">
        <v>281</v>
      </c>
      <c r="C75" s="14" t="s">
        <v>282</v>
      </c>
      <c r="D75" s="14"/>
      <c r="E75" s="14"/>
      <c r="F75" s="14"/>
      <c r="G75" s="14" t="s">
        <v>103</v>
      </c>
      <c r="H75" s="76">
        <v>8</v>
      </c>
      <c r="I75" s="77">
        <v>0</v>
      </c>
      <c r="J75" s="76">
        <f t="shared" si="0"/>
        <v>0</v>
      </c>
      <c r="K75" s="76">
        <f t="shared" si="1"/>
        <v>0</v>
      </c>
      <c r="L75" s="76">
        <f t="shared" si="2"/>
        <v>0</v>
      </c>
      <c r="M75" s="78" t="s">
        <v>104</v>
      </c>
      <c r="Z75" s="76">
        <f t="shared" si="3"/>
        <v>0</v>
      </c>
      <c r="AB75" s="76">
        <f t="shared" si="4"/>
        <v>0</v>
      </c>
      <c r="AC75" s="76">
        <f t="shared" si="5"/>
        <v>0</v>
      </c>
      <c r="AD75" s="76">
        <f t="shared" si="6"/>
        <v>0</v>
      </c>
      <c r="AE75" s="76">
        <f t="shared" si="7"/>
        <v>0</v>
      </c>
      <c r="AF75" s="76">
        <f t="shared" si="8"/>
        <v>0</v>
      </c>
      <c r="AG75" s="76">
        <f t="shared" si="9"/>
        <v>0</v>
      </c>
      <c r="AH75" s="76">
        <f t="shared" si="10"/>
        <v>0</v>
      </c>
      <c r="AI75" s="62" t="s">
        <v>99</v>
      </c>
      <c r="AJ75" s="76">
        <f t="shared" si="11"/>
        <v>0</v>
      </c>
      <c r="AK75" s="76">
        <f t="shared" si="12"/>
        <v>0</v>
      </c>
      <c r="AL75" s="76">
        <f t="shared" si="13"/>
        <v>0</v>
      </c>
      <c r="AN75" s="76">
        <v>21</v>
      </c>
      <c r="AO75" s="76">
        <f>I75*0.00752</f>
        <v>0</v>
      </c>
      <c r="AP75" s="76">
        <f>I75*(1-0.00752)</f>
        <v>0</v>
      </c>
      <c r="AQ75" s="79" t="s">
        <v>105</v>
      </c>
      <c r="AV75" s="76">
        <f t="shared" si="16"/>
        <v>0</v>
      </c>
      <c r="AW75" s="76">
        <f t="shared" si="17"/>
        <v>0</v>
      </c>
      <c r="AX75" s="76">
        <f t="shared" si="18"/>
        <v>0</v>
      </c>
      <c r="AY75" s="79" t="s">
        <v>115</v>
      </c>
      <c r="AZ75" s="79" t="s">
        <v>116</v>
      </c>
      <c r="BA75" s="62" t="s">
        <v>108</v>
      </c>
      <c r="BC75" s="76">
        <f t="shared" si="19"/>
        <v>0</v>
      </c>
      <c r="BD75" s="76">
        <f t="shared" si="20"/>
        <v>0</v>
      </c>
      <c r="BE75" s="76">
        <v>0</v>
      </c>
      <c r="BF75" s="76">
        <f>75</f>
        <v>75</v>
      </c>
      <c r="BH75" s="76">
        <f t="shared" si="21"/>
        <v>0</v>
      </c>
      <c r="BI75" s="76">
        <f t="shared" si="22"/>
        <v>0</v>
      </c>
      <c r="BJ75" s="76">
        <f t="shared" si="23"/>
        <v>0</v>
      </c>
      <c r="BK75" s="76"/>
      <c r="BL75" s="76">
        <v>722</v>
      </c>
    </row>
    <row r="76" spans="1:64" ht="15" customHeight="1">
      <c r="A76" s="75" t="s">
        <v>283</v>
      </c>
      <c r="B76" s="14" t="s">
        <v>284</v>
      </c>
      <c r="C76" s="14" t="s">
        <v>285</v>
      </c>
      <c r="D76" s="14"/>
      <c r="E76" s="14"/>
      <c r="F76" s="14"/>
      <c r="G76" s="14" t="s">
        <v>103</v>
      </c>
      <c r="H76" s="76">
        <v>10</v>
      </c>
      <c r="I76" s="77">
        <v>0</v>
      </c>
      <c r="J76" s="76">
        <f t="shared" si="0"/>
        <v>0</v>
      </c>
      <c r="K76" s="76">
        <f t="shared" si="1"/>
        <v>0</v>
      </c>
      <c r="L76" s="76">
        <f t="shared" si="2"/>
        <v>0</v>
      </c>
      <c r="M76" s="78" t="s">
        <v>104</v>
      </c>
      <c r="Z76" s="76">
        <f t="shared" si="3"/>
        <v>0</v>
      </c>
      <c r="AB76" s="76">
        <f t="shared" si="4"/>
        <v>0</v>
      </c>
      <c r="AC76" s="76">
        <f t="shared" si="5"/>
        <v>0</v>
      </c>
      <c r="AD76" s="76">
        <f t="shared" si="6"/>
        <v>0</v>
      </c>
      <c r="AE76" s="76">
        <f t="shared" si="7"/>
        <v>0</v>
      </c>
      <c r="AF76" s="76">
        <f t="shared" si="8"/>
        <v>0</v>
      </c>
      <c r="AG76" s="76">
        <f t="shared" si="9"/>
        <v>0</v>
      </c>
      <c r="AH76" s="76">
        <f t="shared" si="10"/>
        <v>0</v>
      </c>
      <c r="AI76" s="62" t="s">
        <v>99</v>
      </c>
      <c r="AJ76" s="76">
        <f t="shared" si="11"/>
        <v>0</v>
      </c>
      <c r="AK76" s="76">
        <f t="shared" si="12"/>
        <v>0</v>
      </c>
      <c r="AL76" s="76">
        <f t="shared" si="13"/>
        <v>0</v>
      </c>
      <c r="AN76" s="76">
        <v>21</v>
      </c>
      <c r="AO76" s="76">
        <f>I76*0.00967078189300411</f>
        <v>0</v>
      </c>
      <c r="AP76" s="76">
        <f>I76*(1-0.00967078189300411)</f>
        <v>0</v>
      </c>
      <c r="AQ76" s="79" t="s">
        <v>105</v>
      </c>
      <c r="AV76" s="76">
        <f t="shared" si="16"/>
        <v>0</v>
      </c>
      <c r="AW76" s="76">
        <f t="shared" si="17"/>
        <v>0</v>
      </c>
      <c r="AX76" s="76">
        <f t="shared" si="18"/>
        <v>0</v>
      </c>
      <c r="AY76" s="79" t="s">
        <v>115</v>
      </c>
      <c r="AZ76" s="79" t="s">
        <v>116</v>
      </c>
      <c r="BA76" s="62" t="s">
        <v>108</v>
      </c>
      <c r="BC76" s="76">
        <f t="shared" si="19"/>
        <v>0</v>
      </c>
      <c r="BD76" s="76">
        <f t="shared" si="20"/>
        <v>0</v>
      </c>
      <c r="BE76" s="76">
        <v>0</v>
      </c>
      <c r="BF76" s="76">
        <f>76</f>
        <v>76</v>
      </c>
      <c r="BH76" s="76">
        <f t="shared" si="21"/>
        <v>0</v>
      </c>
      <c r="BI76" s="76">
        <f t="shared" si="22"/>
        <v>0</v>
      </c>
      <c r="BJ76" s="76">
        <f t="shared" si="23"/>
        <v>0</v>
      </c>
      <c r="BK76" s="76"/>
      <c r="BL76" s="76">
        <v>722</v>
      </c>
    </row>
    <row r="77" spans="1:64" ht="15" customHeight="1">
      <c r="A77" s="75" t="s">
        <v>286</v>
      </c>
      <c r="B77" s="14" t="s">
        <v>287</v>
      </c>
      <c r="C77" s="14" t="s">
        <v>288</v>
      </c>
      <c r="D77" s="14"/>
      <c r="E77" s="14"/>
      <c r="F77" s="14"/>
      <c r="G77" s="14" t="s">
        <v>103</v>
      </c>
      <c r="H77" s="76">
        <v>1</v>
      </c>
      <c r="I77" s="77">
        <v>0</v>
      </c>
      <c r="J77" s="76">
        <f t="shared" si="0"/>
        <v>0</v>
      </c>
      <c r="K77" s="76">
        <f t="shared" si="1"/>
        <v>0</v>
      </c>
      <c r="L77" s="76">
        <f t="shared" si="2"/>
        <v>0</v>
      </c>
      <c r="M77" s="78" t="s">
        <v>104</v>
      </c>
      <c r="Z77" s="76">
        <f t="shared" si="3"/>
        <v>0</v>
      </c>
      <c r="AB77" s="76">
        <f t="shared" si="4"/>
        <v>0</v>
      </c>
      <c r="AC77" s="76">
        <f t="shared" si="5"/>
        <v>0</v>
      </c>
      <c r="AD77" s="76">
        <f t="shared" si="6"/>
        <v>0</v>
      </c>
      <c r="AE77" s="76">
        <f t="shared" si="7"/>
        <v>0</v>
      </c>
      <c r="AF77" s="76">
        <f t="shared" si="8"/>
        <v>0</v>
      </c>
      <c r="AG77" s="76">
        <f t="shared" si="9"/>
        <v>0</v>
      </c>
      <c r="AH77" s="76">
        <f t="shared" si="10"/>
        <v>0</v>
      </c>
      <c r="AI77" s="62" t="s">
        <v>99</v>
      </c>
      <c r="AJ77" s="76">
        <f t="shared" si="11"/>
        <v>0</v>
      </c>
      <c r="AK77" s="76">
        <f t="shared" si="12"/>
        <v>0</v>
      </c>
      <c r="AL77" s="76">
        <f t="shared" si="13"/>
        <v>0</v>
      </c>
      <c r="AN77" s="76">
        <v>21</v>
      </c>
      <c r="AO77" s="76">
        <f>I77*0.0114634146341463</f>
        <v>0</v>
      </c>
      <c r="AP77" s="76">
        <f>I77*(1-0.0114634146341463)</f>
        <v>0</v>
      </c>
      <c r="AQ77" s="79" t="s">
        <v>105</v>
      </c>
      <c r="AV77" s="76">
        <f t="shared" si="16"/>
        <v>0</v>
      </c>
      <c r="AW77" s="76">
        <f t="shared" si="17"/>
        <v>0</v>
      </c>
      <c r="AX77" s="76">
        <f t="shared" si="18"/>
        <v>0</v>
      </c>
      <c r="AY77" s="79" t="s">
        <v>115</v>
      </c>
      <c r="AZ77" s="79" t="s">
        <v>116</v>
      </c>
      <c r="BA77" s="62" t="s">
        <v>108</v>
      </c>
      <c r="BC77" s="76">
        <f t="shared" si="19"/>
        <v>0</v>
      </c>
      <c r="BD77" s="76">
        <f t="shared" si="20"/>
        <v>0</v>
      </c>
      <c r="BE77" s="76">
        <v>0</v>
      </c>
      <c r="BF77" s="76">
        <f>77</f>
        <v>77</v>
      </c>
      <c r="BH77" s="76">
        <f t="shared" si="21"/>
        <v>0</v>
      </c>
      <c r="BI77" s="76">
        <f t="shared" si="22"/>
        <v>0</v>
      </c>
      <c r="BJ77" s="76">
        <f t="shared" si="23"/>
        <v>0</v>
      </c>
      <c r="BK77" s="76"/>
      <c r="BL77" s="76">
        <v>722</v>
      </c>
    </row>
    <row r="78" spans="1:64" ht="15" customHeight="1">
      <c r="A78" s="75" t="s">
        <v>289</v>
      </c>
      <c r="B78" s="14" t="s">
        <v>290</v>
      </c>
      <c r="C78" s="14" t="s">
        <v>291</v>
      </c>
      <c r="D78" s="14"/>
      <c r="E78" s="14"/>
      <c r="F78" s="14"/>
      <c r="G78" s="14" t="s">
        <v>114</v>
      </c>
      <c r="H78" s="76">
        <v>110</v>
      </c>
      <c r="I78" s="77">
        <v>0</v>
      </c>
      <c r="J78" s="76">
        <f t="shared" si="0"/>
        <v>0</v>
      </c>
      <c r="K78" s="76">
        <f t="shared" si="1"/>
        <v>0</v>
      </c>
      <c r="L78" s="76">
        <f t="shared" si="2"/>
        <v>0</v>
      </c>
      <c r="M78" s="78" t="s">
        <v>104</v>
      </c>
      <c r="Z78" s="76">
        <f t="shared" si="3"/>
        <v>0</v>
      </c>
      <c r="AB78" s="76">
        <f t="shared" si="4"/>
        <v>0</v>
      </c>
      <c r="AC78" s="76">
        <f t="shared" si="5"/>
        <v>0</v>
      </c>
      <c r="AD78" s="76">
        <f t="shared" si="6"/>
        <v>0</v>
      </c>
      <c r="AE78" s="76">
        <f t="shared" si="7"/>
        <v>0</v>
      </c>
      <c r="AF78" s="76">
        <f t="shared" si="8"/>
        <v>0</v>
      </c>
      <c r="AG78" s="76">
        <f t="shared" si="9"/>
        <v>0</v>
      </c>
      <c r="AH78" s="76">
        <f t="shared" si="10"/>
        <v>0</v>
      </c>
      <c r="AI78" s="62" t="s">
        <v>99</v>
      </c>
      <c r="AJ78" s="76">
        <f t="shared" si="11"/>
        <v>0</v>
      </c>
      <c r="AK78" s="76">
        <f t="shared" si="12"/>
        <v>0</v>
      </c>
      <c r="AL78" s="76">
        <f t="shared" si="13"/>
        <v>0</v>
      </c>
      <c r="AN78" s="76">
        <v>21</v>
      </c>
      <c r="AO78" s="76">
        <f>I78*0.728987951807229</f>
        <v>0</v>
      </c>
      <c r="AP78" s="76">
        <f>I78*(1-0.728987951807229)</f>
        <v>0</v>
      </c>
      <c r="AQ78" s="79" t="s">
        <v>105</v>
      </c>
      <c r="AV78" s="76">
        <f t="shared" si="16"/>
        <v>0</v>
      </c>
      <c r="AW78" s="76">
        <f t="shared" si="17"/>
        <v>0</v>
      </c>
      <c r="AX78" s="76">
        <f t="shared" si="18"/>
        <v>0</v>
      </c>
      <c r="AY78" s="79" t="s">
        <v>115</v>
      </c>
      <c r="AZ78" s="79" t="s">
        <v>116</v>
      </c>
      <c r="BA78" s="62" t="s">
        <v>108</v>
      </c>
      <c r="BC78" s="76">
        <f t="shared" si="19"/>
        <v>0</v>
      </c>
      <c r="BD78" s="76">
        <f t="shared" si="20"/>
        <v>0</v>
      </c>
      <c r="BE78" s="76">
        <v>0</v>
      </c>
      <c r="BF78" s="76">
        <f>78</f>
        <v>78</v>
      </c>
      <c r="BH78" s="76">
        <f t="shared" si="21"/>
        <v>0</v>
      </c>
      <c r="BI78" s="76">
        <f t="shared" si="22"/>
        <v>0</v>
      </c>
      <c r="BJ78" s="76">
        <f t="shared" si="23"/>
        <v>0</v>
      </c>
      <c r="BK78" s="76"/>
      <c r="BL78" s="76">
        <v>722</v>
      </c>
    </row>
    <row r="79" spans="1:64" ht="15" customHeight="1">
      <c r="A79" s="75" t="s">
        <v>292</v>
      </c>
      <c r="B79" s="14" t="s">
        <v>293</v>
      </c>
      <c r="C79" s="14" t="s">
        <v>291</v>
      </c>
      <c r="D79" s="14"/>
      <c r="E79" s="14"/>
      <c r="F79" s="14"/>
      <c r="G79" s="14" t="s">
        <v>114</v>
      </c>
      <c r="H79" s="76">
        <v>55</v>
      </c>
      <c r="I79" s="77">
        <v>0</v>
      </c>
      <c r="J79" s="76">
        <f t="shared" si="0"/>
        <v>0</v>
      </c>
      <c r="K79" s="76">
        <f t="shared" si="1"/>
        <v>0</v>
      </c>
      <c r="L79" s="76">
        <f t="shared" si="2"/>
        <v>0</v>
      </c>
      <c r="M79" s="78" t="s">
        <v>104</v>
      </c>
      <c r="Z79" s="76">
        <f t="shared" si="3"/>
        <v>0</v>
      </c>
      <c r="AB79" s="76">
        <f t="shared" si="4"/>
        <v>0</v>
      </c>
      <c r="AC79" s="76">
        <f t="shared" si="5"/>
        <v>0</v>
      </c>
      <c r="AD79" s="76">
        <f t="shared" si="6"/>
        <v>0</v>
      </c>
      <c r="AE79" s="76">
        <f t="shared" si="7"/>
        <v>0</v>
      </c>
      <c r="AF79" s="76">
        <f t="shared" si="8"/>
        <v>0</v>
      </c>
      <c r="AG79" s="76">
        <f t="shared" si="9"/>
        <v>0</v>
      </c>
      <c r="AH79" s="76">
        <f t="shared" si="10"/>
        <v>0</v>
      </c>
      <c r="AI79" s="62" t="s">
        <v>99</v>
      </c>
      <c r="AJ79" s="76">
        <f t="shared" si="11"/>
        <v>0</v>
      </c>
      <c r="AK79" s="76">
        <f t="shared" si="12"/>
        <v>0</v>
      </c>
      <c r="AL79" s="76">
        <f t="shared" si="13"/>
        <v>0</v>
      </c>
      <c r="AN79" s="76">
        <v>21</v>
      </c>
      <c r="AO79" s="76">
        <f>I79*0.68667638483965</f>
        <v>0</v>
      </c>
      <c r="AP79" s="76">
        <f>I79*(1-0.68667638483965)</f>
        <v>0</v>
      </c>
      <c r="AQ79" s="79" t="s">
        <v>105</v>
      </c>
      <c r="AV79" s="76">
        <f t="shared" si="16"/>
        <v>0</v>
      </c>
      <c r="AW79" s="76">
        <f t="shared" si="17"/>
        <v>0</v>
      </c>
      <c r="AX79" s="76">
        <f t="shared" si="18"/>
        <v>0</v>
      </c>
      <c r="AY79" s="79" t="s">
        <v>115</v>
      </c>
      <c r="AZ79" s="79" t="s">
        <v>116</v>
      </c>
      <c r="BA79" s="62" t="s">
        <v>108</v>
      </c>
      <c r="BC79" s="76">
        <f t="shared" si="19"/>
        <v>0</v>
      </c>
      <c r="BD79" s="76">
        <f t="shared" si="20"/>
        <v>0</v>
      </c>
      <c r="BE79" s="76">
        <v>0</v>
      </c>
      <c r="BF79" s="76">
        <f>79</f>
        <v>79</v>
      </c>
      <c r="BH79" s="76">
        <f t="shared" si="21"/>
        <v>0</v>
      </c>
      <c r="BI79" s="76">
        <f t="shared" si="22"/>
        <v>0</v>
      </c>
      <c r="BJ79" s="76">
        <f t="shared" si="23"/>
        <v>0</v>
      </c>
      <c r="BK79" s="76"/>
      <c r="BL79" s="76">
        <v>722</v>
      </c>
    </row>
    <row r="80" spans="1:64" ht="15" customHeight="1">
      <c r="A80" s="75" t="s">
        <v>294</v>
      </c>
      <c r="B80" s="14" t="s">
        <v>295</v>
      </c>
      <c r="C80" s="14" t="s">
        <v>291</v>
      </c>
      <c r="D80" s="14"/>
      <c r="E80" s="14"/>
      <c r="F80" s="14"/>
      <c r="G80" s="14" t="s">
        <v>114</v>
      </c>
      <c r="H80" s="76">
        <v>55</v>
      </c>
      <c r="I80" s="77">
        <v>0</v>
      </c>
      <c r="J80" s="76">
        <f t="shared" si="0"/>
        <v>0</v>
      </c>
      <c r="K80" s="76">
        <f t="shared" si="1"/>
        <v>0</v>
      </c>
      <c r="L80" s="76">
        <f t="shared" si="2"/>
        <v>0</v>
      </c>
      <c r="M80" s="78" t="s">
        <v>104</v>
      </c>
      <c r="Z80" s="76">
        <f t="shared" si="3"/>
        <v>0</v>
      </c>
      <c r="AB80" s="76">
        <f t="shared" si="4"/>
        <v>0</v>
      </c>
      <c r="AC80" s="76">
        <f t="shared" si="5"/>
        <v>0</v>
      </c>
      <c r="AD80" s="76">
        <f t="shared" si="6"/>
        <v>0</v>
      </c>
      <c r="AE80" s="76">
        <f t="shared" si="7"/>
        <v>0</v>
      </c>
      <c r="AF80" s="76">
        <f t="shared" si="8"/>
        <v>0</v>
      </c>
      <c r="AG80" s="76">
        <f t="shared" si="9"/>
        <v>0</v>
      </c>
      <c r="AH80" s="76">
        <f t="shared" si="10"/>
        <v>0</v>
      </c>
      <c r="AI80" s="62" t="s">
        <v>99</v>
      </c>
      <c r="AJ80" s="76">
        <f t="shared" si="11"/>
        <v>0</v>
      </c>
      <c r="AK80" s="76">
        <f t="shared" si="12"/>
        <v>0</v>
      </c>
      <c r="AL80" s="76">
        <f t="shared" si="13"/>
        <v>0</v>
      </c>
      <c r="AN80" s="76">
        <v>21</v>
      </c>
      <c r="AO80" s="76">
        <f>I80*0.579957983193277</f>
        <v>0</v>
      </c>
      <c r="AP80" s="76">
        <f>I80*(1-0.579957983193277)</f>
        <v>0</v>
      </c>
      <c r="AQ80" s="79" t="s">
        <v>105</v>
      </c>
      <c r="AV80" s="76">
        <f t="shared" si="16"/>
        <v>0</v>
      </c>
      <c r="AW80" s="76">
        <f t="shared" si="17"/>
        <v>0</v>
      </c>
      <c r="AX80" s="76">
        <f t="shared" si="18"/>
        <v>0</v>
      </c>
      <c r="AY80" s="79" t="s">
        <v>115</v>
      </c>
      <c r="AZ80" s="79" t="s">
        <v>116</v>
      </c>
      <c r="BA80" s="62" t="s">
        <v>108</v>
      </c>
      <c r="BC80" s="76">
        <f t="shared" si="19"/>
        <v>0</v>
      </c>
      <c r="BD80" s="76">
        <f t="shared" si="20"/>
        <v>0</v>
      </c>
      <c r="BE80" s="76">
        <v>0</v>
      </c>
      <c r="BF80" s="76">
        <f>80</f>
        <v>80</v>
      </c>
      <c r="BH80" s="76">
        <f t="shared" si="21"/>
        <v>0</v>
      </c>
      <c r="BI80" s="76">
        <f t="shared" si="22"/>
        <v>0</v>
      </c>
      <c r="BJ80" s="76">
        <f t="shared" si="23"/>
        <v>0</v>
      </c>
      <c r="BK80" s="76"/>
      <c r="BL80" s="76">
        <v>722</v>
      </c>
    </row>
    <row r="81" spans="1:64" ht="15" customHeight="1">
      <c r="A81" s="75" t="s">
        <v>296</v>
      </c>
      <c r="B81" s="14" t="s">
        <v>297</v>
      </c>
      <c r="C81" s="14" t="s">
        <v>291</v>
      </c>
      <c r="D81" s="14"/>
      <c r="E81" s="14"/>
      <c r="F81" s="14"/>
      <c r="G81" s="14" t="s">
        <v>114</v>
      </c>
      <c r="H81" s="76">
        <v>26</v>
      </c>
      <c r="I81" s="77">
        <v>0</v>
      </c>
      <c r="J81" s="76">
        <f t="shared" si="0"/>
        <v>0</v>
      </c>
      <c r="K81" s="76">
        <f t="shared" si="1"/>
        <v>0</v>
      </c>
      <c r="L81" s="76">
        <f t="shared" si="2"/>
        <v>0</v>
      </c>
      <c r="M81" s="78" t="s">
        <v>104</v>
      </c>
      <c r="Z81" s="76">
        <f t="shared" si="3"/>
        <v>0</v>
      </c>
      <c r="AB81" s="76">
        <f t="shared" si="4"/>
        <v>0</v>
      </c>
      <c r="AC81" s="76">
        <f t="shared" si="5"/>
        <v>0</v>
      </c>
      <c r="AD81" s="76">
        <f t="shared" si="6"/>
        <v>0</v>
      </c>
      <c r="AE81" s="76">
        <f t="shared" si="7"/>
        <v>0</v>
      </c>
      <c r="AF81" s="76">
        <f t="shared" si="8"/>
        <v>0</v>
      </c>
      <c r="AG81" s="76">
        <f t="shared" si="9"/>
        <v>0</v>
      </c>
      <c r="AH81" s="76">
        <f t="shared" si="10"/>
        <v>0</v>
      </c>
      <c r="AI81" s="62" t="s">
        <v>99</v>
      </c>
      <c r="AJ81" s="76">
        <f t="shared" si="11"/>
        <v>0</v>
      </c>
      <c r="AK81" s="76">
        <f t="shared" si="12"/>
        <v>0</v>
      </c>
      <c r="AL81" s="76">
        <f t="shared" si="13"/>
        <v>0</v>
      </c>
      <c r="AN81" s="76">
        <v>21</v>
      </c>
      <c r="AO81" s="76">
        <f>I81*0.568629441624365</f>
        <v>0</v>
      </c>
      <c r="AP81" s="76">
        <f>I81*(1-0.568629441624365)</f>
        <v>0</v>
      </c>
      <c r="AQ81" s="79" t="s">
        <v>105</v>
      </c>
      <c r="AV81" s="76">
        <f t="shared" si="16"/>
        <v>0</v>
      </c>
      <c r="AW81" s="76">
        <f t="shared" si="17"/>
        <v>0</v>
      </c>
      <c r="AX81" s="76">
        <f t="shared" si="18"/>
        <v>0</v>
      </c>
      <c r="AY81" s="79" t="s">
        <v>115</v>
      </c>
      <c r="AZ81" s="79" t="s">
        <v>116</v>
      </c>
      <c r="BA81" s="62" t="s">
        <v>108</v>
      </c>
      <c r="BC81" s="76">
        <f t="shared" si="19"/>
        <v>0</v>
      </c>
      <c r="BD81" s="76">
        <f t="shared" si="20"/>
        <v>0</v>
      </c>
      <c r="BE81" s="76">
        <v>0</v>
      </c>
      <c r="BF81" s="76">
        <f>81</f>
        <v>81</v>
      </c>
      <c r="BH81" s="76">
        <f t="shared" si="21"/>
        <v>0</v>
      </c>
      <c r="BI81" s="76">
        <f t="shared" si="22"/>
        <v>0</v>
      </c>
      <c r="BJ81" s="76">
        <f t="shared" si="23"/>
        <v>0</v>
      </c>
      <c r="BK81" s="76"/>
      <c r="BL81" s="76">
        <v>722</v>
      </c>
    </row>
    <row r="82" spans="1:64" ht="15" customHeight="1">
      <c r="A82" s="75" t="s">
        <v>298</v>
      </c>
      <c r="B82" s="14" t="s">
        <v>299</v>
      </c>
      <c r="C82" s="14" t="s">
        <v>291</v>
      </c>
      <c r="D82" s="14"/>
      <c r="E82" s="14"/>
      <c r="F82" s="14"/>
      <c r="G82" s="14" t="s">
        <v>114</v>
      </c>
      <c r="H82" s="76">
        <v>13</v>
      </c>
      <c r="I82" s="77">
        <v>0</v>
      </c>
      <c r="J82" s="76">
        <f t="shared" si="0"/>
        <v>0</v>
      </c>
      <c r="K82" s="76">
        <f t="shared" si="1"/>
        <v>0</v>
      </c>
      <c r="L82" s="76">
        <f t="shared" si="2"/>
        <v>0</v>
      </c>
      <c r="M82" s="78" t="s">
        <v>104</v>
      </c>
      <c r="Z82" s="76">
        <f t="shared" si="3"/>
        <v>0</v>
      </c>
      <c r="AB82" s="76">
        <f t="shared" si="4"/>
        <v>0</v>
      </c>
      <c r="AC82" s="76">
        <f t="shared" si="5"/>
        <v>0</v>
      </c>
      <c r="AD82" s="76">
        <f t="shared" si="6"/>
        <v>0</v>
      </c>
      <c r="AE82" s="76">
        <f t="shared" si="7"/>
        <v>0</v>
      </c>
      <c r="AF82" s="76">
        <f t="shared" si="8"/>
        <v>0</v>
      </c>
      <c r="AG82" s="76">
        <f t="shared" si="9"/>
        <v>0</v>
      </c>
      <c r="AH82" s="76">
        <f t="shared" si="10"/>
        <v>0</v>
      </c>
      <c r="AI82" s="62" t="s">
        <v>99</v>
      </c>
      <c r="AJ82" s="76">
        <f t="shared" si="11"/>
        <v>0</v>
      </c>
      <c r="AK82" s="76">
        <f t="shared" si="12"/>
        <v>0</v>
      </c>
      <c r="AL82" s="76">
        <f t="shared" si="13"/>
        <v>0</v>
      </c>
      <c r="AN82" s="76">
        <v>21</v>
      </c>
      <c r="AO82" s="76">
        <f>I82*0.534302670623145</f>
        <v>0</v>
      </c>
      <c r="AP82" s="76">
        <f>I82*(1-0.534302670623145)</f>
        <v>0</v>
      </c>
      <c r="AQ82" s="79" t="s">
        <v>105</v>
      </c>
      <c r="AV82" s="76">
        <f t="shared" si="16"/>
        <v>0</v>
      </c>
      <c r="AW82" s="76">
        <f t="shared" si="17"/>
        <v>0</v>
      </c>
      <c r="AX82" s="76">
        <f t="shared" si="18"/>
        <v>0</v>
      </c>
      <c r="AY82" s="79" t="s">
        <v>115</v>
      </c>
      <c r="AZ82" s="79" t="s">
        <v>116</v>
      </c>
      <c r="BA82" s="62" t="s">
        <v>108</v>
      </c>
      <c r="BC82" s="76">
        <f t="shared" si="19"/>
        <v>0</v>
      </c>
      <c r="BD82" s="76">
        <f t="shared" si="20"/>
        <v>0</v>
      </c>
      <c r="BE82" s="76">
        <v>0</v>
      </c>
      <c r="BF82" s="76">
        <f>82</f>
        <v>82</v>
      </c>
      <c r="BH82" s="76">
        <f t="shared" si="21"/>
        <v>0</v>
      </c>
      <c r="BI82" s="76">
        <f t="shared" si="22"/>
        <v>0</v>
      </c>
      <c r="BJ82" s="76">
        <f t="shared" si="23"/>
        <v>0</v>
      </c>
      <c r="BK82" s="76"/>
      <c r="BL82" s="76">
        <v>722</v>
      </c>
    </row>
    <row r="83" spans="1:64" ht="15" customHeight="1">
      <c r="A83" s="75" t="s">
        <v>300</v>
      </c>
      <c r="B83" s="14" t="s">
        <v>301</v>
      </c>
      <c r="C83" s="14" t="s">
        <v>291</v>
      </c>
      <c r="D83" s="14"/>
      <c r="E83" s="14"/>
      <c r="F83" s="14"/>
      <c r="G83" s="14" t="s">
        <v>114</v>
      </c>
      <c r="H83" s="76">
        <v>13</v>
      </c>
      <c r="I83" s="77">
        <v>0</v>
      </c>
      <c r="J83" s="76">
        <f t="shared" si="0"/>
        <v>0</v>
      </c>
      <c r="K83" s="76">
        <f t="shared" si="1"/>
        <v>0</v>
      </c>
      <c r="L83" s="76">
        <f t="shared" si="2"/>
        <v>0</v>
      </c>
      <c r="M83" s="78" t="s">
        <v>104</v>
      </c>
      <c r="Z83" s="76">
        <f t="shared" si="3"/>
        <v>0</v>
      </c>
      <c r="AB83" s="76">
        <f t="shared" si="4"/>
        <v>0</v>
      </c>
      <c r="AC83" s="76">
        <f t="shared" si="5"/>
        <v>0</v>
      </c>
      <c r="AD83" s="76">
        <f t="shared" si="6"/>
        <v>0</v>
      </c>
      <c r="AE83" s="76">
        <f t="shared" si="7"/>
        <v>0</v>
      </c>
      <c r="AF83" s="76">
        <f t="shared" si="8"/>
        <v>0</v>
      </c>
      <c r="AG83" s="76">
        <f t="shared" si="9"/>
        <v>0</v>
      </c>
      <c r="AH83" s="76">
        <f t="shared" si="10"/>
        <v>0</v>
      </c>
      <c r="AI83" s="62" t="s">
        <v>99</v>
      </c>
      <c r="AJ83" s="76">
        <f t="shared" si="11"/>
        <v>0</v>
      </c>
      <c r="AK83" s="76">
        <f t="shared" si="12"/>
        <v>0</v>
      </c>
      <c r="AL83" s="76">
        <f t="shared" si="13"/>
        <v>0</v>
      </c>
      <c r="AN83" s="76">
        <v>21</v>
      </c>
      <c r="AO83" s="76">
        <f>I83*0.53455737704918</f>
        <v>0</v>
      </c>
      <c r="AP83" s="76">
        <f>I83*(1-0.53455737704918)</f>
        <v>0</v>
      </c>
      <c r="AQ83" s="79" t="s">
        <v>105</v>
      </c>
      <c r="AV83" s="76">
        <f t="shared" si="16"/>
        <v>0</v>
      </c>
      <c r="AW83" s="76">
        <f t="shared" si="17"/>
        <v>0</v>
      </c>
      <c r="AX83" s="76">
        <f t="shared" si="18"/>
        <v>0</v>
      </c>
      <c r="AY83" s="79" t="s">
        <v>115</v>
      </c>
      <c r="AZ83" s="79" t="s">
        <v>116</v>
      </c>
      <c r="BA83" s="62" t="s">
        <v>108</v>
      </c>
      <c r="BC83" s="76">
        <f t="shared" si="19"/>
        <v>0</v>
      </c>
      <c r="BD83" s="76">
        <f t="shared" si="20"/>
        <v>0</v>
      </c>
      <c r="BE83" s="76">
        <v>0</v>
      </c>
      <c r="BF83" s="76">
        <f>83</f>
        <v>83</v>
      </c>
      <c r="BH83" s="76">
        <f t="shared" si="21"/>
        <v>0</v>
      </c>
      <c r="BI83" s="76">
        <f t="shared" si="22"/>
        <v>0</v>
      </c>
      <c r="BJ83" s="76">
        <f t="shared" si="23"/>
        <v>0</v>
      </c>
      <c r="BK83" s="76"/>
      <c r="BL83" s="76">
        <v>722</v>
      </c>
    </row>
    <row r="84" spans="1:64" ht="15" customHeight="1">
      <c r="A84" s="75" t="s">
        <v>302</v>
      </c>
      <c r="B84" s="14" t="s">
        <v>303</v>
      </c>
      <c r="C84" s="14" t="s">
        <v>304</v>
      </c>
      <c r="D84" s="14"/>
      <c r="E84" s="14"/>
      <c r="F84" s="14"/>
      <c r="G84" s="14" t="s">
        <v>103</v>
      </c>
      <c r="H84" s="76">
        <v>86</v>
      </c>
      <c r="I84" s="77">
        <v>0</v>
      </c>
      <c r="J84" s="76">
        <f t="shared" si="0"/>
        <v>0</v>
      </c>
      <c r="K84" s="76">
        <f t="shared" si="1"/>
        <v>0</v>
      </c>
      <c r="L84" s="76">
        <f t="shared" si="2"/>
        <v>0</v>
      </c>
      <c r="M84" s="78" t="s">
        <v>104</v>
      </c>
      <c r="Z84" s="76">
        <f t="shared" si="3"/>
        <v>0</v>
      </c>
      <c r="AB84" s="76">
        <f t="shared" si="4"/>
        <v>0</v>
      </c>
      <c r="AC84" s="76">
        <f t="shared" si="5"/>
        <v>0</v>
      </c>
      <c r="AD84" s="76">
        <f t="shared" si="6"/>
        <v>0</v>
      </c>
      <c r="AE84" s="76">
        <f t="shared" si="7"/>
        <v>0</v>
      </c>
      <c r="AF84" s="76">
        <f t="shared" si="8"/>
        <v>0</v>
      </c>
      <c r="AG84" s="76">
        <f t="shared" si="9"/>
        <v>0</v>
      </c>
      <c r="AH84" s="76">
        <f t="shared" si="10"/>
        <v>0</v>
      </c>
      <c r="AI84" s="62" t="s">
        <v>99</v>
      </c>
      <c r="AJ84" s="76">
        <f t="shared" si="11"/>
        <v>0</v>
      </c>
      <c r="AK84" s="76">
        <f t="shared" si="12"/>
        <v>0</v>
      </c>
      <c r="AL84" s="76">
        <f t="shared" si="13"/>
        <v>0</v>
      </c>
      <c r="AN84" s="76">
        <v>21</v>
      </c>
      <c r="AO84" s="76">
        <f aca="true" t="shared" si="30" ref="AO84:AO85">I84*0</f>
        <v>0</v>
      </c>
      <c r="AP84" s="76">
        <f aca="true" t="shared" si="31" ref="AP84:AP85">I84*(1-0)</f>
        <v>0</v>
      </c>
      <c r="AQ84" s="79" t="s">
        <v>105</v>
      </c>
      <c r="AV84" s="76">
        <f t="shared" si="16"/>
        <v>0</v>
      </c>
      <c r="AW84" s="76">
        <f t="shared" si="17"/>
        <v>0</v>
      </c>
      <c r="AX84" s="76">
        <f t="shared" si="18"/>
        <v>0</v>
      </c>
      <c r="AY84" s="79" t="s">
        <v>115</v>
      </c>
      <c r="AZ84" s="79" t="s">
        <v>116</v>
      </c>
      <c r="BA84" s="62" t="s">
        <v>108</v>
      </c>
      <c r="BC84" s="76">
        <f t="shared" si="19"/>
        <v>0</v>
      </c>
      <c r="BD84" s="76">
        <f t="shared" si="20"/>
        <v>0</v>
      </c>
      <c r="BE84" s="76">
        <v>0</v>
      </c>
      <c r="BF84" s="76">
        <f>84</f>
        <v>84</v>
      </c>
      <c r="BH84" s="76">
        <f t="shared" si="21"/>
        <v>0</v>
      </c>
      <c r="BI84" s="76">
        <f t="shared" si="22"/>
        <v>0</v>
      </c>
      <c r="BJ84" s="76">
        <f t="shared" si="23"/>
        <v>0</v>
      </c>
      <c r="BK84" s="76"/>
      <c r="BL84" s="76">
        <v>722</v>
      </c>
    </row>
    <row r="85" spans="1:64" ht="15" customHeight="1">
      <c r="A85" s="75" t="s">
        <v>305</v>
      </c>
      <c r="B85" s="14" t="s">
        <v>306</v>
      </c>
      <c r="C85" s="14" t="s">
        <v>307</v>
      </c>
      <c r="D85" s="14"/>
      <c r="E85" s="14"/>
      <c r="F85" s="14"/>
      <c r="G85" s="14" t="s">
        <v>103</v>
      </c>
      <c r="H85" s="76">
        <v>23</v>
      </c>
      <c r="I85" s="77">
        <v>0</v>
      </c>
      <c r="J85" s="76">
        <f t="shared" si="0"/>
        <v>0</v>
      </c>
      <c r="K85" s="76">
        <f t="shared" si="1"/>
        <v>0</v>
      </c>
      <c r="L85" s="76">
        <f t="shared" si="2"/>
        <v>0</v>
      </c>
      <c r="M85" s="78" t="s">
        <v>104</v>
      </c>
      <c r="Z85" s="76">
        <f t="shared" si="3"/>
        <v>0</v>
      </c>
      <c r="AB85" s="76">
        <f t="shared" si="4"/>
        <v>0</v>
      </c>
      <c r="AC85" s="76">
        <f t="shared" si="5"/>
        <v>0</v>
      </c>
      <c r="AD85" s="76">
        <f t="shared" si="6"/>
        <v>0</v>
      </c>
      <c r="AE85" s="76">
        <f t="shared" si="7"/>
        <v>0</v>
      </c>
      <c r="AF85" s="76">
        <f t="shared" si="8"/>
        <v>0</v>
      </c>
      <c r="AG85" s="76">
        <f t="shared" si="9"/>
        <v>0</v>
      </c>
      <c r="AH85" s="76">
        <f t="shared" si="10"/>
        <v>0</v>
      </c>
      <c r="AI85" s="62" t="s">
        <v>99</v>
      </c>
      <c r="AJ85" s="76">
        <f t="shared" si="11"/>
        <v>0</v>
      </c>
      <c r="AK85" s="76">
        <f t="shared" si="12"/>
        <v>0</v>
      </c>
      <c r="AL85" s="76">
        <f t="shared" si="13"/>
        <v>0</v>
      </c>
      <c r="AN85" s="76">
        <v>21</v>
      </c>
      <c r="AO85" s="76">
        <f t="shared" si="30"/>
        <v>0</v>
      </c>
      <c r="AP85" s="76">
        <f t="shared" si="31"/>
        <v>0</v>
      </c>
      <c r="AQ85" s="79" t="s">
        <v>105</v>
      </c>
      <c r="AV85" s="76">
        <f t="shared" si="16"/>
        <v>0</v>
      </c>
      <c r="AW85" s="76">
        <f t="shared" si="17"/>
        <v>0</v>
      </c>
      <c r="AX85" s="76">
        <f t="shared" si="18"/>
        <v>0</v>
      </c>
      <c r="AY85" s="79" t="s">
        <v>115</v>
      </c>
      <c r="AZ85" s="79" t="s">
        <v>116</v>
      </c>
      <c r="BA85" s="62" t="s">
        <v>108</v>
      </c>
      <c r="BC85" s="76">
        <f t="shared" si="19"/>
        <v>0</v>
      </c>
      <c r="BD85" s="76">
        <f t="shared" si="20"/>
        <v>0</v>
      </c>
      <c r="BE85" s="76">
        <v>0</v>
      </c>
      <c r="BF85" s="76">
        <f>85</f>
        <v>85</v>
      </c>
      <c r="BH85" s="76">
        <f t="shared" si="21"/>
        <v>0</v>
      </c>
      <c r="BI85" s="76">
        <f t="shared" si="22"/>
        <v>0</v>
      </c>
      <c r="BJ85" s="76">
        <f t="shared" si="23"/>
        <v>0</v>
      </c>
      <c r="BK85" s="76"/>
      <c r="BL85" s="76">
        <v>722</v>
      </c>
    </row>
    <row r="86" spans="1:64" ht="15" customHeight="1">
      <c r="A86" s="75" t="s">
        <v>308</v>
      </c>
      <c r="B86" s="14" t="s">
        <v>309</v>
      </c>
      <c r="C86" s="14" t="s">
        <v>310</v>
      </c>
      <c r="D86" s="14"/>
      <c r="E86" s="14"/>
      <c r="F86" s="14"/>
      <c r="G86" s="14" t="s">
        <v>103</v>
      </c>
      <c r="H86" s="76">
        <v>2</v>
      </c>
      <c r="I86" s="77">
        <v>0</v>
      </c>
      <c r="J86" s="76">
        <f t="shared" si="0"/>
        <v>0</v>
      </c>
      <c r="K86" s="76">
        <f t="shared" si="1"/>
        <v>0</v>
      </c>
      <c r="L86" s="76">
        <f t="shared" si="2"/>
        <v>0</v>
      </c>
      <c r="M86" s="78" t="s">
        <v>104</v>
      </c>
      <c r="Z86" s="76">
        <f t="shared" si="3"/>
        <v>0</v>
      </c>
      <c r="AB86" s="76">
        <f t="shared" si="4"/>
        <v>0</v>
      </c>
      <c r="AC86" s="76">
        <f t="shared" si="5"/>
        <v>0</v>
      </c>
      <c r="AD86" s="76">
        <f t="shared" si="6"/>
        <v>0</v>
      </c>
      <c r="AE86" s="76">
        <f t="shared" si="7"/>
        <v>0</v>
      </c>
      <c r="AF86" s="76">
        <f t="shared" si="8"/>
        <v>0</v>
      </c>
      <c r="AG86" s="76">
        <f t="shared" si="9"/>
        <v>0</v>
      </c>
      <c r="AH86" s="76">
        <f t="shared" si="10"/>
        <v>0</v>
      </c>
      <c r="AI86" s="62" t="s">
        <v>99</v>
      </c>
      <c r="AJ86" s="76">
        <f t="shared" si="11"/>
        <v>0</v>
      </c>
      <c r="AK86" s="76">
        <f t="shared" si="12"/>
        <v>0</v>
      </c>
      <c r="AL86" s="76">
        <f t="shared" si="13"/>
        <v>0</v>
      </c>
      <c r="AN86" s="76">
        <v>21</v>
      </c>
      <c r="AO86" s="76">
        <f>I86*0.02</f>
        <v>0</v>
      </c>
      <c r="AP86" s="76">
        <f>I86*(1-0.02)</f>
        <v>0</v>
      </c>
      <c r="AQ86" s="79" t="s">
        <v>105</v>
      </c>
      <c r="AV86" s="76">
        <f t="shared" si="16"/>
        <v>0</v>
      </c>
      <c r="AW86" s="76">
        <f t="shared" si="17"/>
        <v>0</v>
      </c>
      <c r="AX86" s="76">
        <f t="shared" si="18"/>
        <v>0</v>
      </c>
      <c r="AY86" s="79" t="s">
        <v>115</v>
      </c>
      <c r="AZ86" s="79" t="s">
        <v>116</v>
      </c>
      <c r="BA86" s="62" t="s">
        <v>108</v>
      </c>
      <c r="BC86" s="76">
        <f t="shared" si="19"/>
        <v>0</v>
      </c>
      <c r="BD86" s="76">
        <f t="shared" si="20"/>
        <v>0</v>
      </c>
      <c r="BE86" s="76">
        <v>0</v>
      </c>
      <c r="BF86" s="76">
        <f>86</f>
        <v>86</v>
      </c>
      <c r="BH86" s="76">
        <f t="shared" si="21"/>
        <v>0</v>
      </c>
      <c r="BI86" s="76">
        <f t="shared" si="22"/>
        <v>0</v>
      </c>
      <c r="BJ86" s="76">
        <f t="shared" si="23"/>
        <v>0</v>
      </c>
      <c r="BK86" s="76"/>
      <c r="BL86" s="76">
        <v>722</v>
      </c>
    </row>
    <row r="87" spans="1:64" ht="15" customHeight="1">
      <c r="A87" s="75" t="s">
        <v>311</v>
      </c>
      <c r="B87" s="14" t="s">
        <v>312</v>
      </c>
      <c r="C87" s="14" t="s">
        <v>313</v>
      </c>
      <c r="D87" s="14"/>
      <c r="E87" s="14"/>
      <c r="F87" s="14"/>
      <c r="G87" s="14" t="s">
        <v>314</v>
      </c>
      <c r="H87" s="76">
        <v>2</v>
      </c>
      <c r="I87" s="77">
        <v>0</v>
      </c>
      <c r="J87" s="76">
        <f t="shared" si="0"/>
        <v>0</v>
      </c>
      <c r="K87" s="76">
        <f t="shared" si="1"/>
        <v>0</v>
      </c>
      <c r="L87" s="76">
        <f t="shared" si="2"/>
        <v>0</v>
      </c>
      <c r="M87" s="78" t="s">
        <v>104</v>
      </c>
      <c r="Z87" s="76">
        <f t="shared" si="3"/>
        <v>0</v>
      </c>
      <c r="AB87" s="76">
        <f t="shared" si="4"/>
        <v>0</v>
      </c>
      <c r="AC87" s="76">
        <f t="shared" si="5"/>
        <v>0</v>
      </c>
      <c r="AD87" s="76">
        <f t="shared" si="6"/>
        <v>0</v>
      </c>
      <c r="AE87" s="76">
        <f t="shared" si="7"/>
        <v>0</v>
      </c>
      <c r="AF87" s="76">
        <f t="shared" si="8"/>
        <v>0</v>
      </c>
      <c r="AG87" s="76">
        <f t="shared" si="9"/>
        <v>0</v>
      </c>
      <c r="AH87" s="76">
        <f t="shared" si="10"/>
        <v>0</v>
      </c>
      <c r="AI87" s="62" t="s">
        <v>99</v>
      </c>
      <c r="AJ87" s="76">
        <f t="shared" si="11"/>
        <v>0</v>
      </c>
      <c r="AK87" s="76">
        <f t="shared" si="12"/>
        <v>0</v>
      </c>
      <c r="AL87" s="76">
        <f t="shared" si="13"/>
        <v>0</v>
      </c>
      <c r="AN87" s="76">
        <v>21</v>
      </c>
      <c r="AO87" s="76">
        <f>I87*0.856406084793294</f>
        <v>0</v>
      </c>
      <c r="AP87" s="76">
        <f>I87*(1-0.856406084793294)</f>
        <v>0</v>
      </c>
      <c r="AQ87" s="79" t="s">
        <v>105</v>
      </c>
      <c r="AV87" s="76">
        <f t="shared" si="16"/>
        <v>0</v>
      </c>
      <c r="AW87" s="76">
        <f t="shared" si="17"/>
        <v>0</v>
      </c>
      <c r="AX87" s="76">
        <f t="shared" si="18"/>
        <v>0</v>
      </c>
      <c r="AY87" s="79" t="s">
        <v>115</v>
      </c>
      <c r="AZ87" s="79" t="s">
        <v>116</v>
      </c>
      <c r="BA87" s="62" t="s">
        <v>108</v>
      </c>
      <c r="BC87" s="76">
        <f t="shared" si="19"/>
        <v>0</v>
      </c>
      <c r="BD87" s="76">
        <f t="shared" si="20"/>
        <v>0</v>
      </c>
      <c r="BE87" s="76">
        <v>0</v>
      </c>
      <c r="BF87" s="76">
        <f>87</f>
        <v>87</v>
      </c>
      <c r="BH87" s="76">
        <f t="shared" si="21"/>
        <v>0</v>
      </c>
      <c r="BI87" s="76">
        <f t="shared" si="22"/>
        <v>0</v>
      </c>
      <c r="BJ87" s="76">
        <f t="shared" si="23"/>
        <v>0</v>
      </c>
      <c r="BK87" s="76"/>
      <c r="BL87" s="76">
        <v>722</v>
      </c>
    </row>
    <row r="88" spans="1:64" ht="15" customHeight="1">
      <c r="A88" s="75" t="s">
        <v>315</v>
      </c>
      <c r="B88" s="14" t="s">
        <v>316</v>
      </c>
      <c r="C88" s="14" t="s">
        <v>317</v>
      </c>
      <c r="D88" s="14"/>
      <c r="E88" s="14"/>
      <c r="F88" s="14"/>
      <c r="G88" s="14" t="s">
        <v>103</v>
      </c>
      <c r="H88" s="76">
        <v>2</v>
      </c>
      <c r="I88" s="77">
        <v>0</v>
      </c>
      <c r="J88" s="76">
        <f t="shared" si="0"/>
        <v>0</v>
      </c>
      <c r="K88" s="76">
        <f t="shared" si="1"/>
        <v>0</v>
      </c>
      <c r="L88" s="76">
        <f t="shared" si="2"/>
        <v>0</v>
      </c>
      <c r="M88" s="78" t="s">
        <v>104</v>
      </c>
      <c r="Z88" s="76">
        <f t="shared" si="3"/>
        <v>0</v>
      </c>
      <c r="AB88" s="76">
        <f t="shared" si="4"/>
        <v>0</v>
      </c>
      <c r="AC88" s="76">
        <f t="shared" si="5"/>
        <v>0</v>
      </c>
      <c r="AD88" s="76">
        <f t="shared" si="6"/>
        <v>0</v>
      </c>
      <c r="AE88" s="76">
        <f t="shared" si="7"/>
        <v>0</v>
      </c>
      <c r="AF88" s="76">
        <f t="shared" si="8"/>
        <v>0</v>
      </c>
      <c r="AG88" s="76">
        <f t="shared" si="9"/>
        <v>0</v>
      </c>
      <c r="AH88" s="76">
        <f t="shared" si="10"/>
        <v>0</v>
      </c>
      <c r="AI88" s="62" t="s">
        <v>99</v>
      </c>
      <c r="AJ88" s="76">
        <f t="shared" si="11"/>
        <v>0</v>
      </c>
      <c r="AK88" s="76">
        <f t="shared" si="12"/>
        <v>0</v>
      </c>
      <c r="AL88" s="76">
        <f t="shared" si="13"/>
        <v>0</v>
      </c>
      <c r="AN88" s="76">
        <v>21</v>
      </c>
      <c r="AO88" s="76">
        <f aca="true" t="shared" si="32" ref="AO88:AO91">I88*0</f>
        <v>0</v>
      </c>
      <c r="AP88" s="76">
        <f aca="true" t="shared" si="33" ref="AP88:AP91">I88*(1-0)</f>
        <v>0</v>
      </c>
      <c r="AQ88" s="79" t="s">
        <v>105</v>
      </c>
      <c r="AV88" s="76">
        <f t="shared" si="16"/>
        <v>0</v>
      </c>
      <c r="AW88" s="76">
        <f t="shared" si="17"/>
        <v>0</v>
      </c>
      <c r="AX88" s="76">
        <f t="shared" si="18"/>
        <v>0</v>
      </c>
      <c r="AY88" s="79" t="s">
        <v>115</v>
      </c>
      <c r="AZ88" s="79" t="s">
        <v>116</v>
      </c>
      <c r="BA88" s="62" t="s">
        <v>108</v>
      </c>
      <c r="BC88" s="76">
        <f t="shared" si="19"/>
        <v>0</v>
      </c>
      <c r="BD88" s="76">
        <f t="shared" si="20"/>
        <v>0</v>
      </c>
      <c r="BE88" s="76">
        <v>0</v>
      </c>
      <c r="BF88" s="76">
        <f>88</f>
        <v>88</v>
      </c>
      <c r="BH88" s="76">
        <f t="shared" si="21"/>
        <v>0</v>
      </c>
      <c r="BI88" s="76">
        <f t="shared" si="22"/>
        <v>0</v>
      </c>
      <c r="BJ88" s="76">
        <f t="shared" si="23"/>
        <v>0</v>
      </c>
      <c r="BK88" s="76"/>
      <c r="BL88" s="76">
        <v>722</v>
      </c>
    </row>
    <row r="89" spans="1:64" ht="15" customHeight="1">
      <c r="A89" s="75" t="s">
        <v>318</v>
      </c>
      <c r="B89" s="14" t="s">
        <v>319</v>
      </c>
      <c r="C89" s="14" t="s">
        <v>320</v>
      </c>
      <c r="D89" s="14"/>
      <c r="E89" s="14"/>
      <c r="F89" s="14"/>
      <c r="G89" s="14" t="s">
        <v>103</v>
      </c>
      <c r="H89" s="76">
        <v>2</v>
      </c>
      <c r="I89" s="77">
        <v>0</v>
      </c>
      <c r="J89" s="76">
        <f t="shared" si="0"/>
        <v>0</v>
      </c>
      <c r="K89" s="76">
        <f t="shared" si="1"/>
        <v>0</v>
      </c>
      <c r="L89" s="76">
        <f t="shared" si="2"/>
        <v>0</v>
      </c>
      <c r="M89" s="78" t="s">
        <v>104</v>
      </c>
      <c r="Z89" s="76">
        <f t="shared" si="3"/>
        <v>0</v>
      </c>
      <c r="AB89" s="76">
        <f t="shared" si="4"/>
        <v>0</v>
      </c>
      <c r="AC89" s="76">
        <f t="shared" si="5"/>
        <v>0</v>
      </c>
      <c r="AD89" s="76">
        <f t="shared" si="6"/>
        <v>0</v>
      </c>
      <c r="AE89" s="76">
        <f t="shared" si="7"/>
        <v>0</v>
      </c>
      <c r="AF89" s="76">
        <f t="shared" si="8"/>
        <v>0</v>
      </c>
      <c r="AG89" s="76">
        <f t="shared" si="9"/>
        <v>0</v>
      </c>
      <c r="AH89" s="76">
        <f t="shared" si="10"/>
        <v>0</v>
      </c>
      <c r="AI89" s="62" t="s">
        <v>99</v>
      </c>
      <c r="AJ89" s="76">
        <f t="shared" si="11"/>
        <v>0</v>
      </c>
      <c r="AK89" s="76">
        <f t="shared" si="12"/>
        <v>0</v>
      </c>
      <c r="AL89" s="76">
        <f t="shared" si="13"/>
        <v>0</v>
      </c>
      <c r="AN89" s="76">
        <v>21</v>
      </c>
      <c r="AO89" s="76">
        <f t="shared" si="32"/>
        <v>0</v>
      </c>
      <c r="AP89" s="76">
        <f t="shared" si="33"/>
        <v>0</v>
      </c>
      <c r="AQ89" s="79" t="s">
        <v>105</v>
      </c>
      <c r="AV89" s="76">
        <f t="shared" si="16"/>
        <v>0</v>
      </c>
      <c r="AW89" s="76">
        <f t="shared" si="17"/>
        <v>0</v>
      </c>
      <c r="AX89" s="76">
        <f t="shared" si="18"/>
        <v>0</v>
      </c>
      <c r="AY89" s="79" t="s">
        <v>115</v>
      </c>
      <c r="AZ89" s="79" t="s">
        <v>116</v>
      </c>
      <c r="BA89" s="62" t="s">
        <v>108</v>
      </c>
      <c r="BC89" s="76">
        <f t="shared" si="19"/>
        <v>0</v>
      </c>
      <c r="BD89" s="76">
        <f t="shared" si="20"/>
        <v>0</v>
      </c>
      <c r="BE89" s="76">
        <v>0</v>
      </c>
      <c r="BF89" s="76">
        <f>89</f>
        <v>89</v>
      </c>
      <c r="BH89" s="76">
        <f t="shared" si="21"/>
        <v>0</v>
      </c>
      <c r="BI89" s="76">
        <f t="shared" si="22"/>
        <v>0</v>
      </c>
      <c r="BJ89" s="76">
        <f t="shared" si="23"/>
        <v>0</v>
      </c>
      <c r="BK89" s="76"/>
      <c r="BL89" s="76">
        <v>722</v>
      </c>
    </row>
    <row r="90" spans="1:64" ht="15" customHeight="1">
      <c r="A90" s="75" t="s">
        <v>321</v>
      </c>
      <c r="B90" s="14" t="s">
        <v>322</v>
      </c>
      <c r="C90" s="14" t="s">
        <v>323</v>
      </c>
      <c r="D90" s="14"/>
      <c r="E90" s="14"/>
      <c r="F90" s="14"/>
      <c r="G90" s="14" t="s">
        <v>103</v>
      </c>
      <c r="H90" s="76">
        <v>2</v>
      </c>
      <c r="I90" s="77">
        <v>0</v>
      </c>
      <c r="J90" s="76">
        <f t="shared" si="0"/>
        <v>0</v>
      </c>
      <c r="K90" s="76">
        <f t="shared" si="1"/>
        <v>0</v>
      </c>
      <c r="L90" s="76">
        <f t="shared" si="2"/>
        <v>0</v>
      </c>
      <c r="M90" s="78" t="s">
        <v>104</v>
      </c>
      <c r="Z90" s="76">
        <f t="shared" si="3"/>
        <v>0</v>
      </c>
      <c r="AB90" s="76">
        <f t="shared" si="4"/>
        <v>0</v>
      </c>
      <c r="AC90" s="76">
        <f t="shared" si="5"/>
        <v>0</v>
      </c>
      <c r="AD90" s="76">
        <f t="shared" si="6"/>
        <v>0</v>
      </c>
      <c r="AE90" s="76">
        <f t="shared" si="7"/>
        <v>0</v>
      </c>
      <c r="AF90" s="76">
        <f t="shared" si="8"/>
        <v>0</v>
      </c>
      <c r="AG90" s="76">
        <f t="shared" si="9"/>
        <v>0</v>
      </c>
      <c r="AH90" s="76">
        <f t="shared" si="10"/>
        <v>0</v>
      </c>
      <c r="AI90" s="62" t="s">
        <v>99</v>
      </c>
      <c r="AJ90" s="76">
        <f t="shared" si="11"/>
        <v>0</v>
      </c>
      <c r="AK90" s="76">
        <f t="shared" si="12"/>
        <v>0</v>
      </c>
      <c r="AL90" s="76">
        <f t="shared" si="13"/>
        <v>0</v>
      </c>
      <c r="AN90" s="76">
        <v>21</v>
      </c>
      <c r="AO90" s="76">
        <f t="shared" si="32"/>
        <v>0</v>
      </c>
      <c r="AP90" s="76">
        <f t="shared" si="33"/>
        <v>0</v>
      </c>
      <c r="AQ90" s="79" t="s">
        <v>105</v>
      </c>
      <c r="AV90" s="76">
        <f t="shared" si="16"/>
        <v>0</v>
      </c>
      <c r="AW90" s="76">
        <f t="shared" si="17"/>
        <v>0</v>
      </c>
      <c r="AX90" s="76">
        <f t="shared" si="18"/>
        <v>0</v>
      </c>
      <c r="AY90" s="79" t="s">
        <v>115</v>
      </c>
      <c r="AZ90" s="79" t="s">
        <v>116</v>
      </c>
      <c r="BA90" s="62" t="s">
        <v>108</v>
      </c>
      <c r="BC90" s="76">
        <f t="shared" si="19"/>
        <v>0</v>
      </c>
      <c r="BD90" s="76">
        <f t="shared" si="20"/>
        <v>0</v>
      </c>
      <c r="BE90" s="76">
        <v>0</v>
      </c>
      <c r="BF90" s="76">
        <f>90</f>
        <v>90</v>
      </c>
      <c r="BH90" s="76">
        <f t="shared" si="21"/>
        <v>0</v>
      </c>
      <c r="BI90" s="76">
        <f t="shared" si="22"/>
        <v>0</v>
      </c>
      <c r="BJ90" s="76">
        <f t="shared" si="23"/>
        <v>0</v>
      </c>
      <c r="BK90" s="76"/>
      <c r="BL90" s="76">
        <v>722</v>
      </c>
    </row>
    <row r="91" spans="1:64" ht="15" customHeight="1">
      <c r="A91" s="75" t="s">
        <v>324</v>
      </c>
      <c r="B91" s="14" t="s">
        <v>325</v>
      </c>
      <c r="C91" s="14" t="s">
        <v>326</v>
      </c>
      <c r="D91" s="14"/>
      <c r="E91" s="14"/>
      <c r="F91" s="14"/>
      <c r="G91" s="14" t="s">
        <v>103</v>
      </c>
      <c r="H91" s="76">
        <v>2</v>
      </c>
      <c r="I91" s="77">
        <v>0</v>
      </c>
      <c r="J91" s="76">
        <f t="shared" si="0"/>
        <v>0</v>
      </c>
      <c r="K91" s="76">
        <f t="shared" si="1"/>
        <v>0</v>
      </c>
      <c r="L91" s="76">
        <f t="shared" si="2"/>
        <v>0</v>
      </c>
      <c r="M91" s="78" t="s">
        <v>104</v>
      </c>
      <c r="Z91" s="76">
        <f t="shared" si="3"/>
        <v>0</v>
      </c>
      <c r="AB91" s="76">
        <f t="shared" si="4"/>
        <v>0</v>
      </c>
      <c r="AC91" s="76">
        <f t="shared" si="5"/>
        <v>0</v>
      </c>
      <c r="AD91" s="76">
        <f t="shared" si="6"/>
        <v>0</v>
      </c>
      <c r="AE91" s="76">
        <f t="shared" si="7"/>
        <v>0</v>
      </c>
      <c r="AF91" s="76">
        <f t="shared" si="8"/>
        <v>0</v>
      </c>
      <c r="AG91" s="76">
        <f t="shared" si="9"/>
        <v>0</v>
      </c>
      <c r="AH91" s="76">
        <f t="shared" si="10"/>
        <v>0</v>
      </c>
      <c r="AI91" s="62" t="s">
        <v>99</v>
      </c>
      <c r="AJ91" s="76">
        <f t="shared" si="11"/>
        <v>0</v>
      </c>
      <c r="AK91" s="76">
        <f t="shared" si="12"/>
        <v>0</v>
      </c>
      <c r="AL91" s="76">
        <f t="shared" si="13"/>
        <v>0</v>
      </c>
      <c r="AN91" s="76">
        <v>21</v>
      </c>
      <c r="AO91" s="76">
        <f t="shared" si="32"/>
        <v>0</v>
      </c>
      <c r="AP91" s="76">
        <f t="shared" si="33"/>
        <v>0</v>
      </c>
      <c r="AQ91" s="79" t="s">
        <v>105</v>
      </c>
      <c r="AV91" s="76">
        <f t="shared" si="16"/>
        <v>0</v>
      </c>
      <c r="AW91" s="76">
        <f t="shared" si="17"/>
        <v>0</v>
      </c>
      <c r="AX91" s="76">
        <f t="shared" si="18"/>
        <v>0</v>
      </c>
      <c r="AY91" s="79" t="s">
        <v>115</v>
      </c>
      <c r="AZ91" s="79" t="s">
        <v>116</v>
      </c>
      <c r="BA91" s="62" t="s">
        <v>108</v>
      </c>
      <c r="BC91" s="76">
        <f t="shared" si="19"/>
        <v>0</v>
      </c>
      <c r="BD91" s="76">
        <f t="shared" si="20"/>
        <v>0</v>
      </c>
      <c r="BE91" s="76">
        <v>0</v>
      </c>
      <c r="BF91" s="76">
        <f>91</f>
        <v>91</v>
      </c>
      <c r="BH91" s="76">
        <f t="shared" si="21"/>
        <v>0</v>
      </c>
      <c r="BI91" s="76">
        <f t="shared" si="22"/>
        <v>0</v>
      </c>
      <c r="BJ91" s="76">
        <f t="shared" si="23"/>
        <v>0</v>
      </c>
      <c r="BK91" s="76"/>
      <c r="BL91" s="76">
        <v>722</v>
      </c>
    </row>
    <row r="92" spans="1:64" ht="15" customHeight="1">
      <c r="A92" s="75" t="s">
        <v>327</v>
      </c>
      <c r="B92" s="14" t="s">
        <v>328</v>
      </c>
      <c r="C92" s="14" t="s">
        <v>329</v>
      </c>
      <c r="D92" s="14"/>
      <c r="E92" s="14"/>
      <c r="F92" s="14"/>
      <c r="G92" s="14" t="s">
        <v>114</v>
      </c>
      <c r="H92" s="76">
        <v>272</v>
      </c>
      <c r="I92" s="77">
        <v>0</v>
      </c>
      <c r="J92" s="76">
        <f t="shared" si="0"/>
        <v>0</v>
      </c>
      <c r="K92" s="76">
        <f t="shared" si="1"/>
        <v>0</v>
      </c>
      <c r="L92" s="76">
        <f t="shared" si="2"/>
        <v>0</v>
      </c>
      <c r="M92" s="78" t="s">
        <v>104</v>
      </c>
      <c r="Z92" s="76">
        <f t="shared" si="3"/>
        <v>0</v>
      </c>
      <c r="AB92" s="76">
        <f t="shared" si="4"/>
        <v>0</v>
      </c>
      <c r="AC92" s="76">
        <f t="shared" si="5"/>
        <v>0</v>
      </c>
      <c r="AD92" s="76">
        <f t="shared" si="6"/>
        <v>0</v>
      </c>
      <c r="AE92" s="76">
        <f t="shared" si="7"/>
        <v>0</v>
      </c>
      <c r="AF92" s="76">
        <f t="shared" si="8"/>
        <v>0</v>
      </c>
      <c r="AG92" s="76">
        <f t="shared" si="9"/>
        <v>0</v>
      </c>
      <c r="AH92" s="76">
        <f t="shared" si="10"/>
        <v>0</v>
      </c>
      <c r="AI92" s="62" t="s">
        <v>99</v>
      </c>
      <c r="AJ92" s="76">
        <f t="shared" si="11"/>
        <v>0</v>
      </c>
      <c r="AK92" s="76">
        <f t="shared" si="12"/>
        <v>0</v>
      </c>
      <c r="AL92" s="76">
        <f t="shared" si="13"/>
        <v>0</v>
      </c>
      <c r="AN92" s="76">
        <v>21</v>
      </c>
      <c r="AO92" s="76">
        <f>I92*0.0523809523809524</f>
        <v>0</v>
      </c>
      <c r="AP92" s="76">
        <f>I92*(1-0.0523809523809524)</f>
        <v>0</v>
      </c>
      <c r="AQ92" s="79" t="s">
        <v>105</v>
      </c>
      <c r="AV92" s="76">
        <f t="shared" si="16"/>
        <v>0</v>
      </c>
      <c r="AW92" s="76">
        <f t="shared" si="17"/>
        <v>0</v>
      </c>
      <c r="AX92" s="76">
        <f t="shared" si="18"/>
        <v>0</v>
      </c>
      <c r="AY92" s="79" t="s">
        <v>115</v>
      </c>
      <c r="AZ92" s="79" t="s">
        <v>116</v>
      </c>
      <c r="BA92" s="62" t="s">
        <v>108</v>
      </c>
      <c r="BC92" s="76">
        <f t="shared" si="19"/>
        <v>0</v>
      </c>
      <c r="BD92" s="76">
        <f t="shared" si="20"/>
        <v>0</v>
      </c>
      <c r="BE92" s="76">
        <v>0</v>
      </c>
      <c r="BF92" s="76">
        <f>92</f>
        <v>92</v>
      </c>
      <c r="BH92" s="76">
        <f t="shared" si="21"/>
        <v>0</v>
      </c>
      <c r="BI92" s="76">
        <f t="shared" si="22"/>
        <v>0</v>
      </c>
      <c r="BJ92" s="76">
        <f t="shared" si="23"/>
        <v>0</v>
      </c>
      <c r="BK92" s="76"/>
      <c r="BL92" s="76">
        <v>722</v>
      </c>
    </row>
    <row r="93" spans="1:64" ht="15" customHeight="1">
      <c r="A93" s="75" t="s">
        <v>330</v>
      </c>
      <c r="B93" s="14" t="s">
        <v>331</v>
      </c>
      <c r="C93" s="14" t="s">
        <v>332</v>
      </c>
      <c r="D93" s="14"/>
      <c r="E93" s="14"/>
      <c r="F93" s="14"/>
      <c r="G93" s="14" t="s">
        <v>114</v>
      </c>
      <c r="H93" s="76">
        <v>26</v>
      </c>
      <c r="I93" s="77">
        <v>0</v>
      </c>
      <c r="J93" s="76">
        <f t="shared" si="0"/>
        <v>0</v>
      </c>
      <c r="K93" s="76">
        <f t="shared" si="1"/>
        <v>0</v>
      </c>
      <c r="L93" s="76">
        <f t="shared" si="2"/>
        <v>0</v>
      </c>
      <c r="M93" s="78" t="s">
        <v>104</v>
      </c>
      <c r="Z93" s="76">
        <f t="shared" si="3"/>
        <v>0</v>
      </c>
      <c r="AB93" s="76">
        <f t="shared" si="4"/>
        <v>0</v>
      </c>
      <c r="AC93" s="76">
        <f t="shared" si="5"/>
        <v>0</v>
      </c>
      <c r="AD93" s="76">
        <f t="shared" si="6"/>
        <v>0</v>
      </c>
      <c r="AE93" s="76">
        <f t="shared" si="7"/>
        <v>0</v>
      </c>
      <c r="AF93" s="76">
        <f t="shared" si="8"/>
        <v>0</v>
      </c>
      <c r="AG93" s="76">
        <f t="shared" si="9"/>
        <v>0</v>
      </c>
      <c r="AH93" s="76">
        <f t="shared" si="10"/>
        <v>0</v>
      </c>
      <c r="AI93" s="62" t="s">
        <v>99</v>
      </c>
      <c r="AJ93" s="76">
        <f t="shared" si="11"/>
        <v>0</v>
      </c>
      <c r="AK93" s="76">
        <f t="shared" si="12"/>
        <v>0</v>
      </c>
      <c r="AL93" s="76">
        <f t="shared" si="13"/>
        <v>0</v>
      </c>
      <c r="AN93" s="76">
        <v>21</v>
      </c>
      <c r="AO93" s="76">
        <f>I93*0.0188760188760189</f>
        <v>0</v>
      </c>
      <c r="AP93" s="76">
        <f>I93*(1-0.0188760188760189)</f>
        <v>0</v>
      </c>
      <c r="AQ93" s="79" t="s">
        <v>105</v>
      </c>
      <c r="AV93" s="76">
        <f t="shared" si="16"/>
        <v>0</v>
      </c>
      <c r="AW93" s="76">
        <f t="shared" si="17"/>
        <v>0</v>
      </c>
      <c r="AX93" s="76">
        <f t="shared" si="18"/>
        <v>0</v>
      </c>
      <c r="AY93" s="79" t="s">
        <v>115</v>
      </c>
      <c r="AZ93" s="79" t="s">
        <v>116</v>
      </c>
      <c r="BA93" s="62" t="s">
        <v>108</v>
      </c>
      <c r="BC93" s="76">
        <f t="shared" si="19"/>
        <v>0</v>
      </c>
      <c r="BD93" s="76">
        <f t="shared" si="20"/>
        <v>0</v>
      </c>
      <c r="BE93" s="76">
        <v>0</v>
      </c>
      <c r="BF93" s="76">
        <f>93</f>
        <v>93</v>
      </c>
      <c r="BH93" s="76">
        <f t="shared" si="21"/>
        <v>0</v>
      </c>
      <c r="BI93" s="76">
        <f t="shared" si="22"/>
        <v>0</v>
      </c>
      <c r="BJ93" s="76">
        <f t="shared" si="23"/>
        <v>0</v>
      </c>
      <c r="BK93" s="76"/>
      <c r="BL93" s="76">
        <v>722</v>
      </c>
    </row>
    <row r="94" spans="1:47" ht="15" customHeight="1">
      <c r="A94" s="71"/>
      <c r="B94" s="72" t="s">
        <v>333</v>
      </c>
      <c r="C94" s="72" t="s">
        <v>334</v>
      </c>
      <c r="D94" s="72"/>
      <c r="E94" s="72"/>
      <c r="F94" s="72"/>
      <c r="G94" s="73" t="s">
        <v>65</v>
      </c>
      <c r="H94" s="73" t="s">
        <v>65</v>
      </c>
      <c r="I94" s="73" t="s">
        <v>65</v>
      </c>
      <c r="J94" s="52">
        <f>SUM(J95:J97)</f>
        <v>0</v>
      </c>
      <c r="K94" s="52">
        <f>SUM(K95:K97)</f>
        <v>0</v>
      </c>
      <c r="L94" s="52">
        <f>SUM(L95:L97)</f>
        <v>0</v>
      </c>
      <c r="M94" s="74"/>
      <c r="AI94" s="62" t="s">
        <v>99</v>
      </c>
      <c r="AS94" s="52">
        <f>SUM(AJ95:AJ97)</f>
        <v>0</v>
      </c>
      <c r="AT94" s="52">
        <f>SUM(AK95:AK97)</f>
        <v>0</v>
      </c>
      <c r="AU94" s="52">
        <f>SUM(AL95:AL97)</f>
        <v>0</v>
      </c>
    </row>
    <row r="95" spans="1:64" ht="15" customHeight="1">
      <c r="A95" s="75" t="s">
        <v>335</v>
      </c>
      <c r="B95" s="14" t="s">
        <v>336</v>
      </c>
      <c r="C95" s="14" t="s">
        <v>337</v>
      </c>
      <c r="D95" s="14"/>
      <c r="E95" s="14"/>
      <c r="F95" s="14"/>
      <c r="G95" s="14" t="s">
        <v>114</v>
      </c>
      <c r="H95" s="76">
        <v>55</v>
      </c>
      <c r="I95" s="77">
        <v>0</v>
      </c>
      <c r="J95" s="76">
        <f aca="true" t="shared" si="34" ref="J95:J97">H95*AO95</f>
        <v>0</v>
      </c>
      <c r="K95" s="76">
        <f aca="true" t="shared" si="35" ref="K95:K97">H95*AP95</f>
        <v>0</v>
      </c>
      <c r="L95" s="76">
        <f aca="true" t="shared" si="36" ref="L95:L97">H95*I95</f>
        <v>0</v>
      </c>
      <c r="M95" s="78" t="s">
        <v>104</v>
      </c>
      <c r="Z95" s="76">
        <f aca="true" t="shared" si="37" ref="Z95:Z97">IF(AQ95="5",BJ95,0)</f>
        <v>0</v>
      </c>
      <c r="AB95" s="76">
        <f aca="true" t="shared" si="38" ref="AB95:AB97">IF(AQ95="1",BH95,0)</f>
        <v>0</v>
      </c>
      <c r="AC95" s="76">
        <f aca="true" t="shared" si="39" ref="AC95:AC97">IF(AQ95="1",BI95,0)</f>
        <v>0</v>
      </c>
      <c r="AD95" s="76">
        <f aca="true" t="shared" si="40" ref="AD95:AD97">IF(AQ95="7",BH95,0)</f>
        <v>0</v>
      </c>
      <c r="AE95" s="76">
        <f aca="true" t="shared" si="41" ref="AE95:AE97">IF(AQ95="7",BI95,0)</f>
        <v>0</v>
      </c>
      <c r="AF95" s="76">
        <f aca="true" t="shared" si="42" ref="AF95:AF97">IF(AQ95="2",BH95,0)</f>
        <v>0</v>
      </c>
      <c r="AG95" s="76">
        <f aca="true" t="shared" si="43" ref="AG95:AG97">IF(AQ95="2",BI95,0)</f>
        <v>0</v>
      </c>
      <c r="AH95" s="76">
        <f aca="true" t="shared" si="44" ref="AH95:AH97">IF(AQ95="0",BJ95,0)</f>
        <v>0</v>
      </c>
      <c r="AI95" s="62" t="s">
        <v>99</v>
      </c>
      <c r="AJ95" s="76">
        <f aca="true" t="shared" si="45" ref="AJ95:AJ97">IF(AN95=0,L95,0)</f>
        <v>0</v>
      </c>
      <c r="AK95" s="76">
        <f aca="true" t="shared" si="46" ref="AK95:AK97">IF(AN95=15,L95,0)</f>
        <v>0</v>
      </c>
      <c r="AL95" s="76">
        <f aca="true" t="shared" si="47" ref="AL95:AL97">IF(AN95=21,L95,0)</f>
        <v>0</v>
      </c>
      <c r="AN95" s="76">
        <v>21</v>
      </c>
      <c r="AO95" s="76">
        <f>I95*0.0214574898785425</f>
        <v>0</v>
      </c>
      <c r="AP95" s="76">
        <f>I95*(1-0.0214574898785425)</f>
        <v>0</v>
      </c>
      <c r="AQ95" s="79" t="s">
        <v>105</v>
      </c>
      <c r="AV95" s="76">
        <f aca="true" t="shared" si="48" ref="AV95:AV97">AW95+AX95</f>
        <v>0</v>
      </c>
      <c r="AW95" s="76">
        <f aca="true" t="shared" si="49" ref="AW95:AW97">H95*AO95</f>
        <v>0</v>
      </c>
      <c r="AX95" s="76">
        <f aca="true" t="shared" si="50" ref="AX95:AX97">H95*AP95</f>
        <v>0</v>
      </c>
      <c r="AY95" s="79" t="s">
        <v>338</v>
      </c>
      <c r="AZ95" s="79" t="s">
        <v>339</v>
      </c>
      <c r="BA95" s="62" t="s">
        <v>108</v>
      </c>
      <c r="BC95" s="76">
        <f aca="true" t="shared" si="51" ref="BC95:BC97">AW95+AX95</f>
        <v>0</v>
      </c>
      <c r="BD95" s="76">
        <f aca="true" t="shared" si="52" ref="BD95:BD97">I95/(100-BE95)*100</f>
        <v>0</v>
      </c>
      <c r="BE95" s="76">
        <v>0</v>
      </c>
      <c r="BF95" s="76">
        <f>95</f>
        <v>95</v>
      </c>
      <c r="BH95" s="76">
        <f aca="true" t="shared" si="53" ref="BH95:BH97">H95*AO95</f>
        <v>0</v>
      </c>
      <c r="BI95" s="76">
        <f aca="true" t="shared" si="54" ref="BI95:BI97">H95*AP95</f>
        <v>0</v>
      </c>
      <c r="BJ95" s="76">
        <f aca="true" t="shared" si="55" ref="BJ95:BJ97">H95*I95</f>
        <v>0</v>
      </c>
      <c r="BK95" s="76"/>
      <c r="BL95" s="76">
        <v>733</v>
      </c>
    </row>
    <row r="96" spans="1:64" ht="15" customHeight="1">
      <c r="A96" s="75" t="s">
        <v>340</v>
      </c>
      <c r="B96" s="14" t="s">
        <v>341</v>
      </c>
      <c r="C96" s="14" t="s">
        <v>342</v>
      </c>
      <c r="D96" s="14"/>
      <c r="E96" s="14"/>
      <c r="F96" s="14"/>
      <c r="G96" s="14" t="s">
        <v>114</v>
      </c>
      <c r="H96" s="76">
        <v>13</v>
      </c>
      <c r="I96" s="77">
        <v>0</v>
      </c>
      <c r="J96" s="76">
        <f t="shared" si="34"/>
        <v>0</v>
      </c>
      <c r="K96" s="76">
        <f t="shared" si="35"/>
        <v>0</v>
      </c>
      <c r="L96" s="76">
        <f t="shared" si="36"/>
        <v>0</v>
      </c>
      <c r="M96" s="78" t="s">
        <v>104</v>
      </c>
      <c r="Z96" s="76">
        <f t="shared" si="37"/>
        <v>0</v>
      </c>
      <c r="AB96" s="76">
        <f t="shared" si="38"/>
        <v>0</v>
      </c>
      <c r="AC96" s="76">
        <f t="shared" si="39"/>
        <v>0</v>
      </c>
      <c r="AD96" s="76">
        <f t="shared" si="40"/>
        <v>0</v>
      </c>
      <c r="AE96" s="76">
        <f t="shared" si="41"/>
        <v>0</v>
      </c>
      <c r="AF96" s="76">
        <f t="shared" si="42"/>
        <v>0</v>
      </c>
      <c r="AG96" s="76">
        <f t="shared" si="43"/>
        <v>0</v>
      </c>
      <c r="AH96" s="76">
        <f t="shared" si="44"/>
        <v>0</v>
      </c>
      <c r="AI96" s="62" t="s">
        <v>99</v>
      </c>
      <c r="AJ96" s="76">
        <f t="shared" si="45"/>
        <v>0</v>
      </c>
      <c r="AK96" s="76">
        <f t="shared" si="46"/>
        <v>0</v>
      </c>
      <c r="AL96" s="76">
        <f t="shared" si="47"/>
        <v>0</v>
      </c>
      <c r="AN96" s="76">
        <v>21</v>
      </c>
      <c r="AO96" s="76">
        <f>I96*0.023728813559322</f>
        <v>0</v>
      </c>
      <c r="AP96" s="76">
        <f>I96*(1-0.023728813559322)</f>
        <v>0</v>
      </c>
      <c r="AQ96" s="79" t="s">
        <v>105</v>
      </c>
      <c r="AV96" s="76">
        <f t="shared" si="48"/>
        <v>0</v>
      </c>
      <c r="AW96" s="76">
        <f t="shared" si="49"/>
        <v>0</v>
      </c>
      <c r="AX96" s="76">
        <f t="shared" si="50"/>
        <v>0</v>
      </c>
      <c r="AY96" s="79" t="s">
        <v>338</v>
      </c>
      <c r="AZ96" s="79" t="s">
        <v>339</v>
      </c>
      <c r="BA96" s="62" t="s">
        <v>108</v>
      </c>
      <c r="BC96" s="76">
        <f t="shared" si="51"/>
        <v>0</v>
      </c>
      <c r="BD96" s="76">
        <f t="shared" si="52"/>
        <v>0</v>
      </c>
      <c r="BE96" s="76">
        <v>0</v>
      </c>
      <c r="BF96" s="76">
        <f>96</f>
        <v>96</v>
      </c>
      <c r="BH96" s="76">
        <f t="shared" si="53"/>
        <v>0</v>
      </c>
      <c r="BI96" s="76">
        <f t="shared" si="54"/>
        <v>0</v>
      </c>
      <c r="BJ96" s="76">
        <f t="shared" si="55"/>
        <v>0</v>
      </c>
      <c r="BK96" s="76"/>
      <c r="BL96" s="76">
        <v>733</v>
      </c>
    </row>
    <row r="97" spans="1:64" ht="15" customHeight="1">
      <c r="A97" s="75" t="s">
        <v>343</v>
      </c>
      <c r="B97" s="14" t="s">
        <v>344</v>
      </c>
      <c r="C97" s="14" t="s">
        <v>345</v>
      </c>
      <c r="D97" s="14"/>
      <c r="E97" s="14"/>
      <c r="F97" s="14"/>
      <c r="G97" s="14" t="s">
        <v>114</v>
      </c>
      <c r="H97" s="76">
        <v>13</v>
      </c>
      <c r="I97" s="77">
        <v>0</v>
      </c>
      <c r="J97" s="76">
        <f t="shared" si="34"/>
        <v>0</v>
      </c>
      <c r="K97" s="76">
        <f t="shared" si="35"/>
        <v>0</v>
      </c>
      <c r="L97" s="76">
        <f t="shared" si="36"/>
        <v>0</v>
      </c>
      <c r="M97" s="78" t="s">
        <v>104</v>
      </c>
      <c r="Z97" s="76">
        <f t="shared" si="37"/>
        <v>0</v>
      </c>
      <c r="AB97" s="76">
        <f t="shared" si="38"/>
        <v>0</v>
      </c>
      <c r="AC97" s="76">
        <f t="shared" si="39"/>
        <v>0</v>
      </c>
      <c r="AD97" s="76">
        <f t="shared" si="40"/>
        <v>0</v>
      </c>
      <c r="AE97" s="76">
        <f t="shared" si="41"/>
        <v>0</v>
      </c>
      <c r="AF97" s="76">
        <f t="shared" si="42"/>
        <v>0</v>
      </c>
      <c r="AG97" s="76">
        <f t="shared" si="43"/>
        <v>0</v>
      </c>
      <c r="AH97" s="76">
        <f t="shared" si="44"/>
        <v>0</v>
      </c>
      <c r="AI97" s="62" t="s">
        <v>99</v>
      </c>
      <c r="AJ97" s="76">
        <f t="shared" si="45"/>
        <v>0</v>
      </c>
      <c r="AK97" s="76">
        <f t="shared" si="46"/>
        <v>0</v>
      </c>
      <c r="AL97" s="76">
        <f t="shared" si="47"/>
        <v>0</v>
      </c>
      <c r="AN97" s="76">
        <v>21</v>
      </c>
      <c r="AO97" s="76">
        <f>I97*0.022794846382557</f>
        <v>0</v>
      </c>
      <c r="AP97" s="76">
        <f>I97*(1-0.022794846382557)</f>
        <v>0</v>
      </c>
      <c r="AQ97" s="79" t="s">
        <v>105</v>
      </c>
      <c r="AV97" s="76">
        <f t="shared" si="48"/>
        <v>0</v>
      </c>
      <c r="AW97" s="76">
        <f t="shared" si="49"/>
        <v>0</v>
      </c>
      <c r="AX97" s="76">
        <f t="shared" si="50"/>
        <v>0</v>
      </c>
      <c r="AY97" s="79" t="s">
        <v>338</v>
      </c>
      <c r="AZ97" s="79" t="s">
        <v>339</v>
      </c>
      <c r="BA97" s="62" t="s">
        <v>108</v>
      </c>
      <c r="BC97" s="76">
        <f t="shared" si="51"/>
        <v>0</v>
      </c>
      <c r="BD97" s="76">
        <f t="shared" si="52"/>
        <v>0</v>
      </c>
      <c r="BE97" s="76">
        <v>0</v>
      </c>
      <c r="BF97" s="76">
        <f>97</f>
        <v>97</v>
      </c>
      <c r="BH97" s="76">
        <f t="shared" si="53"/>
        <v>0</v>
      </c>
      <c r="BI97" s="76">
        <f t="shared" si="54"/>
        <v>0</v>
      </c>
      <c r="BJ97" s="76">
        <f t="shared" si="55"/>
        <v>0</v>
      </c>
      <c r="BK97" s="76"/>
      <c r="BL97" s="76">
        <v>733</v>
      </c>
    </row>
    <row r="98" spans="1:47" ht="15" customHeight="1">
      <c r="A98" s="71"/>
      <c r="B98" s="72" t="s">
        <v>346</v>
      </c>
      <c r="C98" s="72" t="s">
        <v>347</v>
      </c>
      <c r="D98" s="72"/>
      <c r="E98" s="72"/>
      <c r="F98" s="72"/>
      <c r="G98" s="73" t="s">
        <v>65</v>
      </c>
      <c r="H98" s="73" t="s">
        <v>65</v>
      </c>
      <c r="I98" s="73" t="s">
        <v>65</v>
      </c>
      <c r="J98" s="52">
        <f>SUM(J99:J99)</f>
        <v>0</v>
      </c>
      <c r="K98" s="52">
        <f>SUM(K99:K99)</f>
        <v>0</v>
      </c>
      <c r="L98" s="52">
        <f>SUM(L99:L99)</f>
        <v>0</v>
      </c>
      <c r="M98" s="74"/>
      <c r="AI98" s="62" t="s">
        <v>99</v>
      </c>
      <c r="AS98" s="52">
        <f>SUM(AJ99:AJ99)</f>
        <v>0</v>
      </c>
      <c r="AT98" s="52">
        <f>SUM(AK99:AK99)</f>
        <v>0</v>
      </c>
      <c r="AU98" s="52">
        <f>SUM(AL99:AL99)</f>
        <v>0</v>
      </c>
    </row>
    <row r="99" spans="1:64" ht="15" customHeight="1">
      <c r="A99" s="75" t="s">
        <v>348</v>
      </c>
      <c r="B99" s="14" t="s">
        <v>349</v>
      </c>
      <c r="C99" s="14" t="s">
        <v>350</v>
      </c>
      <c r="D99" s="14"/>
      <c r="E99" s="14"/>
      <c r="F99" s="14"/>
      <c r="G99" s="14" t="s">
        <v>114</v>
      </c>
      <c r="H99" s="76">
        <v>165</v>
      </c>
      <c r="I99" s="77">
        <v>0</v>
      </c>
      <c r="J99" s="76">
        <f>H99*AO99</f>
        <v>0</v>
      </c>
      <c r="K99" s="76">
        <f>H99*AP99</f>
        <v>0</v>
      </c>
      <c r="L99" s="76">
        <f>H99*I99</f>
        <v>0</v>
      </c>
      <c r="M99" s="78" t="s">
        <v>104</v>
      </c>
      <c r="Z99" s="76">
        <f>IF(AQ99="5",BJ99,0)</f>
        <v>0</v>
      </c>
      <c r="AB99" s="76">
        <f>IF(AQ99="1",BH99,0)</f>
        <v>0</v>
      </c>
      <c r="AC99" s="76">
        <f>IF(AQ99="1",BI99,0)</f>
        <v>0</v>
      </c>
      <c r="AD99" s="76">
        <f>IF(AQ99="7",BH99,0)</f>
        <v>0</v>
      </c>
      <c r="AE99" s="76">
        <f>IF(AQ99="7",BI99,0)</f>
        <v>0</v>
      </c>
      <c r="AF99" s="76">
        <f>IF(AQ99="2",BH99,0)</f>
        <v>0</v>
      </c>
      <c r="AG99" s="76">
        <f>IF(AQ99="2",BI99,0)</f>
        <v>0</v>
      </c>
      <c r="AH99" s="76">
        <f>IF(AQ99="0",BJ99,0)</f>
        <v>0</v>
      </c>
      <c r="AI99" s="62" t="s">
        <v>99</v>
      </c>
      <c r="AJ99" s="76">
        <f>IF(AN99=0,L99,0)</f>
        <v>0</v>
      </c>
      <c r="AK99" s="76">
        <f>IF(AN99=15,L99,0)</f>
        <v>0</v>
      </c>
      <c r="AL99" s="76">
        <f>IF(AN99=21,L99,0)</f>
        <v>0</v>
      </c>
      <c r="AN99" s="76">
        <v>21</v>
      </c>
      <c r="AO99" s="76">
        <f>I99*0.0239934932899553</f>
        <v>0</v>
      </c>
      <c r="AP99" s="76">
        <f>I99*(1-0.0239934932899553)</f>
        <v>0</v>
      </c>
      <c r="AQ99" s="79" t="s">
        <v>100</v>
      </c>
      <c r="AV99" s="76">
        <f>AW99+AX99</f>
        <v>0</v>
      </c>
      <c r="AW99" s="76">
        <f>H99*AO99</f>
        <v>0</v>
      </c>
      <c r="AX99" s="76">
        <f>H99*AP99</f>
        <v>0</v>
      </c>
      <c r="AY99" s="79" t="s">
        <v>351</v>
      </c>
      <c r="AZ99" s="79" t="s">
        <v>352</v>
      </c>
      <c r="BA99" s="62" t="s">
        <v>108</v>
      </c>
      <c r="BC99" s="76">
        <f>AW99+AX99</f>
        <v>0</v>
      </c>
      <c r="BD99" s="76">
        <f>I99/(100-BE99)*100</f>
        <v>0</v>
      </c>
      <c r="BE99" s="76">
        <v>0</v>
      </c>
      <c r="BF99" s="76">
        <f>99</f>
        <v>99</v>
      </c>
      <c r="BH99" s="76">
        <f>H99*AO99</f>
        <v>0</v>
      </c>
      <c r="BI99" s="76">
        <f>H99*AP99</f>
        <v>0</v>
      </c>
      <c r="BJ99" s="76">
        <f>H99*I99</f>
        <v>0</v>
      </c>
      <c r="BK99" s="76"/>
      <c r="BL99" s="76">
        <v>89</v>
      </c>
    </row>
    <row r="100" spans="1:47" ht="15" customHeight="1">
      <c r="A100" s="71"/>
      <c r="B100" s="72" t="s">
        <v>353</v>
      </c>
      <c r="C100" s="72" t="s">
        <v>354</v>
      </c>
      <c r="D100" s="72"/>
      <c r="E100" s="72"/>
      <c r="F100" s="72"/>
      <c r="G100" s="73" t="s">
        <v>65</v>
      </c>
      <c r="H100" s="73" t="s">
        <v>65</v>
      </c>
      <c r="I100" s="73" t="s">
        <v>65</v>
      </c>
      <c r="J100" s="52">
        <f>SUM(J101:J101)</f>
        <v>0</v>
      </c>
      <c r="K100" s="52">
        <f>SUM(K101:K101)</f>
        <v>0</v>
      </c>
      <c r="L100" s="52">
        <f>SUM(L101:L101)</f>
        <v>0</v>
      </c>
      <c r="M100" s="74"/>
      <c r="AI100" s="62" t="s">
        <v>99</v>
      </c>
      <c r="AS100" s="52">
        <f>SUM(AJ101:AJ101)</f>
        <v>0</v>
      </c>
      <c r="AT100" s="52">
        <f>SUM(AK101:AK101)</f>
        <v>0</v>
      </c>
      <c r="AU100" s="52">
        <f>SUM(AL101:AL101)</f>
        <v>0</v>
      </c>
    </row>
    <row r="101" spans="1:64" ht="15" customHeight="1">
      <c r="A101" s="75" t="s">
        <v>355</v>
      </c>
      <c r="B101" s="14" t="s">
        <v>356</v>
      </c>
      <c r="C101" s="14" t="s">
        <v>357</v>
      </c>
      <c r="D101" s="14"/>
      <c r="E101" s="14"/>
      <c r="F101" s="14"/>
      <c r="G101" s="14" t="s">
        <v>358</v>
      </c>
      <c r="H101" s="76">
        <v>1</v>
      </c>
      <c r="I101" s="77">
        <v>0</v>
      </c>
      <c r="J101" s="76">
        <f>H101*AO101</f>
        <v>0</v>
      </c>
      <c r="K101" s="76">
        <f>H101*AP101</f>
        <v>0</v>
      </c>
      <c r="L101" s="76">
        <f>H101*I101</f>
        <v>0</v>
      </c>
      <c r="M101" s="78" t="s">
        <v>104</v>
      </c>
      <c r="Z101" s="76">
        <f>IF(AQ101="5",BJ101,0)</f>
        <v>0</v>
      </c>
      <c r="AB101" s="76">
        <f>IF(AQ101="1",BH101,0)</f>
        <v>0</v>
      </c>
      <c r="AC101" s="76">
        <f>IF(AQ101="1",BI101,0)</f>
        <v>0</v>
      </c>
      <c r="AD101" s="76">
        <f>IF(AQ101="7",BH101,0)</f>
        <v>0</v>
      </c>
      <c r="AE101" s="76">
        <f>IF(AQ101="7",BI101,0)</f>
        <v>0</v>
      </c>
      <c r="AF101" s="76">
        <f>IF(AQ101="2",BH101,0)</f>
        <v>0</v>
      </c>
      <c r="AG101" s="76">
        <f>IF(AQ101="2",BI101,0)</f>
        <v>0</v>
      </c>
      <c r="AH101" s="76">
        <f>IF(AQ101="0",BJ101,0)</f>
        <v>0</v>
      </c>
      <c r="AI101" s="62" t="s">
        <v>99</v>
      </c>
      <c r="AJ101" s="76">
        <f>IF(AN101=0,L101,0)</f>
        <v>0</v>
      </c>
      <c r="AK101" s="76">
        <f>IF(AN101=15,L101,0)</f>
        <v>0</v>
      </c>
      <c r="AL101" s="76">
        <f>IF(AN101=21,L101,0)</f>
        <v>0</v>
      </c>
      <c r="AN101" s="76">
        <v>21</v>
      </c>
      <c r="AO101" s="76">
        <f>I101*0.0239864864864865</f>
        <v>0</v>
      </c>
      <c r="AP101" s="76">
        <f>I101*(1-0.0239864864864865)</f>
        <v>0</v>
      </c>
      <c r="AQ101" s="79" t="s">
        <v>100</v>
      </c>
      <c r="AV101" s="76">
        <f>AW101+AX101</f>
        <v>0</v>
      </c>
      <c r="AW101" s="76">
        <f>H101*AO101</f>
        <v>0</v>
      </c>
      <c r="AX101" s="76">
        <f>H101*AP101</f>
        <v>0</v>
      </c>
      <c r="AY101" s="79" t="s">
        <v>359</v>
      </c>
      <c r="AZ101" s="79" t="s">
        <v>360</v>
      </c>
      <c r="BA101" s="62" t="s">
        <v>108</v>
      </c>
      <c r="BC101" s="76">
        <f>AW101+AX101</f>
        <v>0</v>
      </c>
      <c r="BD101" s="76">
        <f>I101/(100-BE101)*100</f>
        <v>0</v>
      </c>
      <c r="BE101" s="76">
        <v>0</v>
      </c>
      <c r="BF101" s="76">
        <f>101</f>
        <v>101</v>
      </c>
      <c r="BH101" s="76">
        <f>H101*AO101</f>
        <v>0</v>
      </c>
      <c r="BI101" s="76">
        <f>H101*AP101</f>
        <v>0</v>
      </c>
      <c r="BJ101" s="76">
        <f>H101*I101</f>
        <v>0</v>
      </c>
      <c r="BK101" s="76"/>
      <c r="BL101" s="76">
        <v>97</v>
      </c>
    </row>
    <row r="102" spans="1:47" ht="15" customHeight="1">
      <c r="A102" s="71"/>
      <c r="B102" s="72" t="s">
        <v>361</v>
      </c>
      <c r="C102" s="72" t="s">
        <v>110</v>
      </c>
      <c r="D102" s="72"/>
      <c r="E102" s="72"/>
      <c r="F102" s="72"/>
      <c r="G102" s="73" t="s">
        <v>65</v>
      </c>
      <c r="H102" s="73" t="s">
        <v>65</v>
      </c>
      <c r="I102" s="73" t="s">
        <v>65</v>
      </c>
      <c r="J102" s="52">
        <f>SUM(J103:J103)</f>
        <v>0</v>
      </c>
      <c r="K102" s="52">
        <f>SUM(K103:K103)</f>
        <v>0</v>
      </c>
      <c r="L102" s="52">
        <f>SUM(L103:L103)</f>
        <v>0</v>
      </c>
      <c r="M102" s="74"/>
      <c r="AI102" s="62" t="s">
        <v>99</v>
      </c>
      <c r="AS102" s="52">
        <f>SUM(AJ103:AJ103)</f>
        <v>0</v>
      </c>
      <c r="AT102" s="52">
        <f>SUM(AK103:AK103)</f>
        <v>0</v>
      </c>
      <c r="AU102" s="52">
        <f>SUM(AL103:AL103)</f>
        <v>0</v>
      </c>
    </row>
    <row r="103" spans="1:64" ht="15" customHeight="1">
      <c r="A103" s="75" t="s">
        <v>362</v>
      </c>
      <c r="B103" s="14" t="s">
        <v>363</v>
      </c>
      <c r="C103" s="14" t="s">
        <v>364</v>
      </c>
      <c r="D103" s="14"/>
      <c r="E103" s="14"/>
      <c r="F103" s="14"/>
      <c r="G103" s="14" t="s">
        <v>365</v>
      </c>
      <c r="H103" s="76">
        <v>0.9</v>
      </c>
      <c r="I103" s="77">
        <v>0</v>
      </c>
      <c r="J103" s="76">
        <f>H103*AO103</f>
        <v>0</v>
      </c>
      <c r="K103" s="76">
        <f>H103*AP103</f>
        <v>0</v>
      </c>
      <c r="L103" s="76">
        <f>H103*I103</f>
        <v>0</v>
      </c>
      <c r="M103" s="78" t="s">
        <v>104</v>
      </c>
      <c r="Z103" s="76">
        <f>IF(AQ103="5",BJ103,0)</f>
        <v>0</v>
      </c>
      <c r="AB103" s="76">
        <f>IF(AQ103="1",BH103,0)</f>
        <v>0</v>
      </c>
      <c r="AC103" s="76">
        <f>IF(AQ103="1",BI103,0)</f>
        <v>0</v>
      </c>
      <c r="AD103" s="76">
        <f>IF(AQ103="7",BH103,0)</f>
        <v>0</v>
      </c>
      <c r="AE103" s="76">
        <f>IF(AQ103="7",BI103,0)</f>
        <v>0</v>
      </c>
      <c r="AF103" s="76">
        <f>IF(AQ103="2",BH103,0)</f>
        <v>0</v>
      </c>
      <c r="AG103" s="76">
        <f>IF(AQ103="2",BI103,0)</f>
        <v>0</v>
      </c>
      <c r="AH103" s="76">
        <f>IF(AQ103="0",BJ103,0)</f>
        <v>0</v>
      </c>
      <c r="AI103" s="62" t="s">
        <v>99</v>
      </c>
      <c r="AJ103" s="76">
        <f>IF(AN103=0,L103,0)</f>
        <v>0</v>
      </c>
      <c r="AK103" s="76">
        <f>IF(AN103=15,L103,0)</f>
        <v>0</v>
      </c>
      <c r="AL103" s="76">
        <f>IF(AN103=21,L103,0)</f>
        <v>0</v>
      </c>
      <c r="AN103" s="76">
        <v>21</v>
      </c>
      <c r="AO103" s="76">
        <f>I103*0</f>
        <v>0</v>
      </c>
      <c r="AP103" s="76">
        <f>I103*(1-0)</f>
        <v>0</v>
      </c>
      <c r="AQ103" s="79" t="s">
        <v>123</v>
      </c>
      <c r="AV103" s="76">
        <f>AW103+AX103</f>
        <v>0</v>
      </c>
      <c r="AW103" s="76">
        <f>H103*AO103</f>
        <v>0</v>
      </c>
      <c r="AX103" s="76">
        <f>H103*AP103</f>
        <v>0</v>
      </c>
      <c r="AY103" s="79" t="s">
        <v>366</v>
      </c>
      <c r="AZ103" s="79" t="s">
        <v>360</v>
      </c>
      <c r="BA103" s="62" t="s">
        <v>108</v>
      </c>
      <c r="BC103" s="76">
        <f>AW103+AX103</f>
        <v>0</v>
      </c>
      <c r="BD103" s="76">
        <f>I103/(100-BE103)*100</f>
        <v>0</v>
      </c>
      <c r="BE103" s="76">
        <v>0</v>
      </c>
      <c r="BF103" s="76">
        <f>103</f>
        <v>103</v>
      </c>
      <c r="BH103" s="76">
        <f>H103*AO103</f>
        <v>0</v>
      </c>
      <c r="BI103" s="76">
        <f>H103*AP103</f>
        <v>0</v>
      </c>
      <c r="BJ103" s="76">
        <f>H103*I103</f>
        <v>0</v>
      </c>
      <c r="BK103" s="76"/>
      <c r="BL103" s="76"/>
    </row>
    <row r="104" spans="1:47" ht="15" customHeight="1">
      <c r="A104" s="71"/>
      <c r="B104" s="72" t="s">
        <v>367</v>
      </c>
      <c r="C104" s="72" t="s">
        <v>368</v>
      </c>
      <c r="D104" s="72"/>
      <c r="E104" s="72"/>
      <c r="F104" s="72"/>
      <c r="G104" s="73" t="s">
        <v>65</v>
      </c>
      <c r="H104" s="73" t="s">
        <v>65</v>
      </c>
      <c r="I104" s="73" t="s">
        <v>65</v>
      </c>
      <c r="J104" s="52">
        <f>SUM(J105:J105)</f>
        <v>0</v>
      </c>
      <c r="K104" s="52">
        <f>SUM(K105:K105)</f>
        <v>0</v>
      </c>
      <c r="L104" s="52">
        <f>SUM(L105:L105)</f>
        <v>0</v>
      </c>
      <c r="M104" s="74"/>
      <c r="AI104" s="62" t="s">
        <v>99</v>
      </c>
      <c r="AS104" s="52">
        <f>SUM(AJ105:AJ105)</f>
        <v>0</v>
      </c>
      <c r="AT104" s="52">
        <f>SUM(AK105:AK105)</f>
        <v>0</v>
      </c>
      <c r="AU104" s="52">
        <f>SUM(AL105:AL105)</f>
        <v>0</v>
      </c>
    </row>
    <row r="105" spans="1:64" ht="15" customHeight="1">
      <c r="A105" s="75" t="s">
        <v>369</v>
      </c>
      <c r="B105" s="14" t="s">
        <v>370</v>
      </c>
      <c r="C105" s="14" t="s">
        <v>371</v>
      </c>
      <c r="D105" s="14"/>
      <c r="E105" s="14"/>
      <c r="F105" s="14"/>
      <c r="G105" s="14" t="s">
        <v>103</v>
      </c>
      <c r="H105" s="76">
        <v>54</v>
      </c>
      <c r="I105" s="77">
        <v>0</v>
      </c>
      <c r="J105" s="76">
        <f>H105*AO105</f>
        <v>0</v>
      </c>
      <c r="K105" s="76">
        <f>H105*AP105</f>
        <v>0</v>
      </c>
      <c r="L105" s="76">
        <f>H105*I105</f>
        <v>0</v>
      </c>
      <c r="M105" s="78" t="s">
        <v>104</v>
      </c>
      <c r="Z105" s="76">
        <f>IF(AQ105="5",BJ105,0)</f>
        <v>0</v>
      </c>
      <c r="AB105" s="76">
        <f>IF(AQ105="1",BH105,0)</f>
        <v>0</v>
      </c>
      <c r="AC105" s="76">
        <f>IF(AQ105="1",BI105,0)</f>
        <v>0</v>
      </c>
      <c r="AD105" s="76">
        <f>IF(AQ105="7",BH105,0)</f>
        <v>0</v>
      </c>
      <c r="AE105" s="76">
        <f>IF(AQ105="7",BI105,0)</f>
        <v>0</v>
      </c>
      <c r="AF105" s="76">
        <f>IF(AQ105="2",BH105,0)</f>
        <v>0</v>
      </c>
      <c r="AG105" s="76">
        <f>IF(AQ105="2",BI105,0)</f>
        <v>0</v>
      </c>
      <c r="AH105" s="76">
        <f>IF(AQ105="0",BJ105,0)</f>
        <v>0</v>
      </c>
      <c r="AI105" s="62" t="s">
        <v>99</v>
      </c>
      <c r="AJ105" s="76">
        <f>IF(AN105=0,L105,0)</f>
        <v>0</v>
      </c>
      <c r="AK105" s="76">
        <f>IF(AN105=15,L105,0)</f>
        <v>0</v>
      </c>
      <c r="AL105" s="76">
        <f>IF(AN105=21,L105,0)</f>
        <v>0</v>
      </c>
      <c r="AN105" s="76">
        <v>21</v>
      </c>
      <c r="AO105" s="76">
        <f>I105*0.0631339463456252</f>
        <v>0</v>
      </c>
      <c r="AP105" s="76">
        <f>I105*(1-0.0631339463456252)</f>
        <v>0</v>
      </c>
      <c r="AQ105" s="79" t="s">
        <v>111</v>
      </c>
      <c r="AV105" s="76">
        <f>AW105+AX105</f>
        <v>0</v>
      </c>
      <c r="AW105" s="76">
        <f>H105*AO105</f>
        <v>0</v>
      </c>
      <c r="AX105" s="76">
        <f>H105*AP105</f>
        <v>0</v>
      </c>
      <c r="AY105" s="79" t="s">
        <v>372</v>
      </c>
      <c r="AZ105" s="79" t="s">
        <v>360</v>
      </c>
      <c r="BA105" s="62" t="s">
        <v>108</v>
      </c>
      <c r="BC105" s="76">
        <f>AW105+AX105</f>
        <v>0</v>
      </c>
      <c r="BD105" s="76">
        <f>I105/(100-BE105)*100</f>
        <v>0</v>
      </c>
      <c r="BE105" s="76">
        <v>0</v>
      </c>
      <c r="BF105" s="76">
        <f>105</f>
        <v>105</v>
      </c>
      <c r="BH105" s="76">
        <f>H105*AO105</f>
        <v>0</v>
      </c>
      <c r="BI105" s="76">
        <f>H105*AP105</f>
        <v>0</v>
      </c>
      <c r="BJ105" s="76">
        <f>H105*I105</f>
        <v>0</v>
      </c>
      <c r="BK105" s="76"/>
      <c r="BL105" s="76"/>
    </row>
    <row r="106" spans="1:47" ht="15" customHeight="1">
      <c r="A106" s="71"/>
      <c r="B106" s="72" t="s">
        <v>373</v>
      </c>
      <c r="C106" s="72" t="s">
        <v>374</v>
      </c>
      <c r="D106" s="72"/>
      <c r="E106" s="72"/>
      <c r="F106" s="72"/>
      <c r="G106" s="73" t="s">
        <v>65</v>
      </c>
      <c r="H106" s="73" t="s">
        <v>65</v>
      </c>
      <c r="I106" s="73" t="s">
        <v>65</v>
      </c>
      <c r="J106" s="52">
        <f>SUM(J107:J117)</f>
        <v>0</v>
      </c>
      <c r="K106" s="52">
        <f>SUM(K107:K117)</f>
        <v>0</v>
      </c>
      <c r="L106" s="52">
        <f>SUM(L107:L117)</f>
        <v>0</v>
      </c>
      <c r="M106" s="74"/>
      <c r="AI106" s="62" t="s">
        <v>99</v>
      </c>
      <c r="AS106" s="52">
        <f>SUM(AJ107:AJ117)</f>
        <v>0</v>
      </c>
      <c r="AT106" s="52">
        <f>SUM(AK107:AK117)</f>
        <v>0</v>
      </c>
      <c r="AU106" s="52">
        <f>SUM(AL107:AL117)</f>
        <v>0</v>
      </c>
    </row>
    <row r="107" spans="1:64" ht="15" customHeight="1">
      <c r="A107" s="75" t="s">
        <v>375</v>
      </c>
      <c r="B107" s="14" t="s">
        <v>376</v>
      </c>
      <c r="C107" s="14" t="s">
        <v>377</v>
      </c>
      <c r="D107" s="14"/>
      <c r="E107" s="14"/>
      <c r="F107" s="14"/>
      <c r="G107" s="14" t="s">
        <v>365</v>
      </c>
      <c r="H107" s="76">
        <v>7.5</v>
      </c>
      <c r="I107" s="77">
        <v>0</v>
      </c>
      <c r="J107" s="76">
        <f aca="true" t="shared" si="56" ref="J107:J117">H107*AO107</f>
        <v>0</v>
      </c>
      <c r="K107" s="76">
        <f aca="true" t="shared" si="57" ref="K107:K117">H107*AP107</f>
        <v>0</v>
      </c>
      <c r="L107" s="76">
        <f aca="true" t="shared" si="58" ref="L107:L117">H107*I107</f>
        <v>0</v>
      </c>
      <c r="M107" s="78" t="s">
        <v>104</v>
      </c>
      <c r="Z107" s="76">
        <f aca="true" t="shared" si="59" ref="Z107:Z117">IF(AQ107="5",BJ107,0)</f>
        <v>0</v>
      </c>
      <c r="AB107" s="76">
        <f aca="true" t="shared" si="60" ref="AB107:AB117">IF(AQ107="1",BH107,0)</f>
        <v>0</v>
      </c>
      <c r="AC107" s="76">
        <f aca="true" t="shared" si="61" ref="AC107:AC117">IF(AQ107="1",BI107,0)</f>
        <v>0</v>
      </c>
      <c r="AD107" s="76">
        <f aca="true" t="shared" si="62" ref="AD107:AD117">IF(AQ107="7",BH107,0)</f>
        <v>0</v>
      </c>
      <c r="AE107" s="76">
        <f aca="true" t="shared" si="63" ref="AE107:AE117">IF(AQ107="7",BI107,0)</f>
        <v>0</v>
      </c>
      <c r="AF107" s="76">
        <f aca="true" t="shared" si="64" ref="AF107:AF117">IF(AQ107="2",BH107,0)</f>
        <v>0</v>
      </c>
      <c r="AG107" s="76">
        <f aca="true" t="shared" si="65" ref="AG107:AG117">IF(AQ107="2",BI107,0)</f>
        <v>0</v>
      </c>
      <c r="AH107" s="76">
        <f aca="true" t="shared" si="66" ref="AH107:AH117">IF(AQ107="0",BJ107,0)</f>
        <v>0</v>
      </c>
      <c r="AI107" s="62" t="s">
        <v>99</v>
      </c>
      <c r="AJ107" s="76">
        <f aca="true" t="shared" si="67" ref="AJ107:AJ117">IF(AN107=0,L107,0)</f>
        <v>0</v>
      </c>
      <c r="AK107" s="76">
        <f aca="true" t="shared" si="68" ref="AK107:AK117">IF(AN107=15,L107,0)</f>
        <v>0</v>
      </c>
      <c r="AL107" s="76">
        <f aca="true" t="shared" si="69" ref="AL107:AL117">IF(AN107=21,L107,0)</f>
        <v>0</v>
      </c>
      <c r="AN107" s="76">
        <v>21</v>
      </c>
      <c r="AO107" s="76">
        <f aca="true" t="shared" si="70" ref="AO107:AO117">I107*0</f>
        <v>0</v>
      </c>
      <c r="AP107" s="76">
        <f aca="true" t="shared" si="71" ref="AP107:AP117">I107*(1-0)</f>
        <v>0</v>
      </c>
      <c r="AQ107" s="79" t="s">
        <v>123</v>
      </c>
      <c r="AV107" s="76">
        <f aca="true" t="shared" si="72" ref="AV107:AV117">AW107+AX107</f>
        <v>0</v>
      </c>
      <c r="AW107" s="76">
        <f aca="true" t="shared" si="73" ref="AW107:AW117">H107*AO107</f>
        <v>0</v>
      </c>
      <c r="AX107" s="76">
        <f aca="true" t="shared" si="74" ref="AX107:AX117">H107*AP107</f>
        <v>0</v>
      </c>
      <c r="AY107" s="79" t="s">
        <v>378</v>
      </c>
      <c r="AZ107" s="79" t="s">
        <v>360</v>
      </c>
      <c r="BA107" s="62" t="s">
        <v>108</v>
      </c>
      <c r="BC107" s="76">
        <f aca="true" t="shared" si="75" ref="BC107:BC117">AW107+AX107</f>
        <v>0</v>
      </c>
      <c r="BD107" s="76">
        <f aca="true" t="shared" si="76" ref="BD107:BD117">I107/(100-BE107)*100</f>
        <v>0</v>
      </c>
      <c r="BE107" s="76">
        <v>0</v>
      </c>
      <c r="BF107" s="76">
        <f>107</f>
        <v>107</v>
      </c>
      <c r="BH107" s="76">
        <f aca="true" t="shared" si="77" ref="BH107:BH117">H107*AO107</f>
        <v>0</v>
      </c>
      <c r="BI107" s="76">
        <f aca="true" t="shared" si="78" ref="BI107:BI117">H107*AP107</f>
        <v>0</v>
      </c>
      <c r="BJ107" s="76">
        <f aca="true" t="shared" si="79" ref="BJ107:BJ117">H107*I107</f>
        <v>0</v>
      </c>
      <c r="BK107" s="76"/>
      <c r="BL107" s="76"/>
    </row>
    <row r="108" spans="1:64" ht="15" customHeight="1">
      <c r="A108" s="75" t="s">
        <v>379</v>
      </c>
      <c r="B108" s="14" t="s">
        <v>380</v>
      </c>
      <c r="C108" s="14" t="s">
        <v>381</v>
      </c>
      <c r="D108" s="14"/>
      <c r="E108" s="14"/>
      <c r="F108" s="14"/>
      <c r="G108" s="14" t="s">
        <v>365</v>
      </c>
      <c r="H108" s="76">
        <v>7.5</v>
      </c>
      <c r="I108" s="77">
        <v>0</v>
      </c>
      <c r="J108" s="76">
        <f t="shared" si="56"/>
        <v>0</v>
      </c>
      <c r="K108" s="76">
        <f t="shared" si="57"/>
        <v>0</v>
      </c>
      <c r="L108" s="76">
        <f t="shared" si="58"/>
        <v>0</v>
      </c>
      <c r="M108" s="78" t="s">
        <v>104</v>
      </c>
      <c r="Z108" s="76">
        <f t="shared" si="59"/>
        <v>0</v>
      </c>
      <c r="AB108" s="76">
        <f t="shared" si="60"/>
        <v>0</v>
      </c>
      <c r="AC108" s="76">
        <f t="shared" si="61"/>
        <v>0</v>
      </c>
      <c r="AD108" s="76">
        <f t="shared" si="62"/>
        <v>0</v>
      </c>
      <c r="AE108" s="76">
        <f t="shared" si="63"/>
        <v>0</v>
      </c>
      <c r="AF108" s="76">
        <f t="shared" si="64"/>
        <v>0</v>
      </c>
      <c r="AG108" s="76">
        <f t="shared" si="65"/>
        <v>0</v>
      </c>
      <c r="AH108" s="76">
        <f t="shared" si="66"/>
        <v>0</v>
      </c>
      <c r="AI108" s="62" t="s">
        <v>99</v>
      </c>
      <c r="AJ108" s="76">
        <f t="shared" si="67"/>
        <v>0</v>
      </c>
      <c r="AK108" s="76">
        <f t="shared" si="68"/>
        <v>0</v>
      </c>
      <c r="AL108" s="76">
        <f t="shared" si="69"/>
        <v>0</v>
      </c>
      <c r="AN108" s="76">
        <v>21</v>
      </c>
      <c r="AO108" s="76">
        <f t="shared" si="70"/>
        <v>0</v>
      </c>
      <c r="AP108" s="76">
        <f t="shared" si="71"/>
        <v>0</v>
      </c>
      <c r="AQ108" s="79" t="s">
        <v>123</v>
      </c>
      <c r="AV108" s="76">
        <f t="shared" si="72"/>
        <v>0</v>
      </c>
      <c r="AW108" s="76">
        <f t="shared" si="73"/>
        <v>0</v>
      </c>
      <c r="AX108" s="76">
        <f t="shared" si="74"/>
        <v>0</v>
      </c>
      <c r="AY108" s="79" t="s">
        <v>378</v>
      </c>
      <c r="AZ108" s="79" t="s">
        <v>360</v>
      </c>
      <c r="BA108" s="62" t="s">
        <v>108</v>
      </c>
      <c r="BC108" s="76">
        <f t="shared" si="75"/>
        <v>0</v>
      </c>
      <c r="BD108" s="76">
        <f t="shared" si="76"/>
        <v>0</v>
      </c>
      <c r="BE108" s="76">
        <v>0</v>
      </c>
      <c r="BF108" s="76">
        <f>108</f>
        <v>108</v>
      </c>
      <c r="BH108" s="76">
        <f t="shared" si="77"/>
        <v>0</v>
      </c>
      <c r="BI108" s="76">
        <f t="shared" si="78"/>
        <v>0</v>
      </c>
      <c r="BJ108" s="76">
        <f t="shared" si="79"/>
        <v>0</v>
      </c>
      <c r="BK108" s="76"/>
      <c r="BL108" s="76"/>
    </row>
    <row r="109" spans="1:64" ht="15" customHeight="1">
      <c r="A109" s="75" t="s">
        <v>346</v>
      </c>
      <c r="B109" s="14" t="s">
        <v>382</v>
      </c>
      <c r="C109" s="14" t="s">
        <v>383</v>
      </c>
      <c r="D109" s="14"/>
      <c r="E109" s="14"/>
      <c r="F109" s="14"/>
      <c r="G109" s="14" t="s">
        <v>365</v>
      </c>
      <c r="H109" s="76">
        <v>7.5</v>
      </c>
      <c r="I109" s="77">
        <v>0</v>
      </c>
      <c r="J109" s="76">
        <f t="shared" si="56"/>
        <v>0</v>
      </c>
      <c r="K109" s="76">
        <f t="shared" si="57"/>
        <v>0</v>
      </c>
      <c r="L109" s="76">
        <f t="shared" si="58"/>
        <v>0</v>
      </c>
      <c r="M109" s="78" t="s">
        <v>104</v>
      </c>
      <c r="Z109" s="76">
        <f t="shared" si="59"/>
        <v>0</v>
      </c>
      <c r="AB109" s="76">
        <f t="shared" si="60"/>
        <v>0</v>
      </c>
      <c r="AC109" s="76">
        <f t="shared" si="61"/>
        <v>0</v>
      </c>
      <c r="AD109" s="76">
        <f t="shared" si="62"/>
        <v>0</v>
      </c>
      <c r="AE109" s="76">
        <f t="shared" si="63"/>
        <v>0</v>
      </c>
      <c r="AF109" s="76">
        <f t="shared" si="64"/>
        <v>0</v>
      </c>
      <c r="AG109" s="76">
        <f t="shared" si="65"/>
        <v>0</v>
      </c>
      <c r="AH109" s="76">
        <f t="shared" si="66"/>
        <v>0</v>
      </c>
      <c r="AI109" s="62" t="s">
        <v>99</v>
      </c>
      <c r="AJ109" s="76">
        <f t="shared" si="67"/>
        <v>0</v>
      </c>
      <c r="AK109" s="76">
        <f t="shared" si="68"/>
        <v>0</v>
      </c>
      <c r="AL109" s="76">
        <f t="shared" si="69"/>
        <v>0</v>
      </c>
      <c r="AN109" s="76">
        <v>21</v>
      </c>
      <c r="AO109" s="76">
        <f t="shared" si="70"/>
        <v>0</v>
      </c>
      <c r="AP109" s="76">
        <f t="shared" si="71"/>
        <v>0</v>
      </c>
      <c r="AQ109" s="79" t="s">
        <v>123</v>
      </c>
      <c r="AV109" s="76">
        <f t="shared" si="72"/>
        <v>0</v>
      </c>
      <c r="AW109" s="76">
        <f t="shared" si="73"/>
        <v>0</v>
      </c>
      <c r="AX109" s="76">
        <f t="shared" si="74"/>
        <v>0</v>
      </c>
      <c r="AY109" s="79" t="s">
        <v>378</v>
      </c>
      <c r="AZ109" s="79" t="s">
        <v>360</v>
      </c>
      <c r="BA109" s="62" t="s">
        <v>108</v>
      </c>
      <c r="BC109" s="76">
        <f t="shared" si="75"/>
        <v>0</v>
      </c>
      <c r="BD109" s="76">
        <f t="shared" si="76"/>
        <v>0</v>
      </c>
      <c r="BE109" s="76">
        <v>0</v>
      </c>
      <c r="BF109" s="76">
        <f>109</f>
        <v>109</v>
      </c>
      <c r="BH109" s="76">
        <f t="shared" si="77"/>
        <v>0</v>
      </c>
      <c r="BI109" s="76">
        <f t="shared" si="78"/>
        <v>0</v>
      </c>
      <c r="BJ109" s="76">
        <f t="shared" si="79"/>
        <v>0</v>
      </c>
      <c r="BK109" s="76"/>
      <c r="BL109" s="76"/>
    </row>
    <row r="110" spans="1:64" ht="15" customHeight="1">
      <c r="A110" s="75" t="s">
        <v>384</v>
      </c>
      <c r="B110" s="14" t="s">
        <v>385</v>
      </c>
      <c r="C110" s="14" t="s">
        <v>386</v>
      </c>
      <c r="D110" s="14"/>
      <c r="E110" s="14"/>
      <c r="F110" s="14"/>
      <c r="G110" s="14" t="s">
        <v>365</v>
      </c>
      <c r="H110" s="76">
        <v>1.8</v>
      </c>
      <c r="I110" s="77">
        <v>0</v>
      </c>
      <c r="J110" s="76">
        <f t="shared" si="56"/>
        <v>0</v>
      </c>
      <c r="K110" s="76">
        <f t="shared" si="57"/>
        <v>0</v>
      </c>
      <c r="L110" s="76">
        <f t="shared" si="58"/>
        <v>0</v>
      </c>
      <c r="M110" s="78" t="s">
        <v>104</v>
      </c>
      <c r="Z110" s="76">
        <f t="shared" si="59"/>
        <v>0</v>
      </c>
      <c r="AB110" s="76">
        <f t="shared" si="60"/>
        <v>0</v>
      </c>
      <c r="AC110" s="76">
        <f t="shared" si="61"/>
        <v>0</v>
      </c>
      <c r="AD110" s="76">
        <f t="shared" si="62"/>
        <v>0</v>
      </c>
      <c r="AE110" s="76">
        <f t="shared" si="63"/>
        <v>0</v>
      </c>
      <c r="AF110" s="76">
        <f t="shared" si="64"/>
        <v>0</v>
      </c>
      <c r="AG110" s="76">
        <f t="shared" si="65"/>
        <v>0</v>
      </c>
      <c r="AH110" s="76">
        <f t="shared" si="66"/>
        <v>0</v>
      </c>
      <c r="AI110" s="62" t="s">
        <v>99</v>
      </c>
      <c r="AJ110" s="76">
        <f t="shared" si="67"/>
        <v>0</v>
      </c>
      <c r="AK110" s="76">
        <f t="shared" si="68"/>
        <v>0</v>
      </c>
      <c r="AL110" s="76">
        <f t="shared" si="69"/>
        <v>0</v>
      </c>
      <c r="AN110" s="76">
        <v>21</v>
      </c>
      <c r="AO110" s="76">
        <f t="shared" si="70"/>
        <v>0</v>
      </c>
      <c r="AP110" s="76">
        <f t="shared" si="71"/>
        <v>0</v>
      </c>
      <c r="AQ110" s="79" t="s">
        <v>123</v>
      </c>
      <c r="AV110" s="76">
        <f t="shared" si="72"/>
        <v>0</v>
      </c>
      <c r="AW110" s="76">
        <f t="shared" si="73"/>
        <v>0</v>
      </c>
      <c r="AX110" s="76">
        <f t="shared" si="74"/>
        <v>0</v>
      </c>
      <c r="AY110" s="79" t="s">
        <v>378</v>
      </c>
      <c r="AZ110" s="79" t="s">
        <v>360</v>
      </c>
      <c r="BA110" s="62" t="s">
        <v>108</v>
      </c>
      <c r="BC110" s="76">
        <f t="shared" si="75"/>
        <v>0</v>
      </c>
      <c r="BD110" s="76">
        <f t="shared" si="76"/>
        <v>0</v>
      </c>
      <c r="BE110" s="76">
        <v>0</v>
      </c>
      <c r="BF110" s="76">
        <f>110</f>
        <v>110</v>
      </c>
      <c r="BH110" s="76">
        <f t="shared" si="77"/>
        <v>0</v>
      </c>
      <c r="BI110" s="76">
        <f t="shared" si="78"/>
        <v>0</v>
      </c>
      <c r="BJ110" s="76">
        <f t="shared" si="79"/>
        <v>0</v>
      </c>
      <c r="BK110" s="76"/>
      <c r="BL110" s="76"/>
    </row>
    <row r="111" spans="1:64" ht="15" customHeight="1">
      <c r="A111" s="75" t="s">
        <v>387</v>
      </c>
      <c r="B111" s="14" t="s">
        <v>388</v>
      </c>
      <c r="C111" s="14" t="s">
        <v>389</v>
      </c>
      <c r="D111" s="14"/>
      <c r="E111" s="14"/>
      <c r="F111" s="14"/>
      <c r="G111" s="14" t="s">
        <v>365</v>
      </c>
      <c r="H111" s="76">
        <v>30</v>
      </c>
      <c r="I111" s="77">
        <v>0</v>
      </c>
      <c r="J111" s="76">
        <f t="shared" si="56"/>
        <v>0</v>
      </c>
      <c r="K111" s="76">
        <f t="shared" si="57"/>
        <v>0</v>
      </c>
      <c r="L111" s="76">
        <f t="shared" si="58"/>
        <v>0</v>
      </c>
      <c r="M111" s="78" t="s">
        <v>104</v>
      </c>
      <c r="Z111" s="76">
        <f t="shared" si="59"/>
        <v>0</v>
      </c>
      <c r="AB111" s="76">
        <f t="shared" si="60"/>
        <v>0</v>
      </c>
      <c r="AC111" s="76">
        <f t="shared" si="61"/>
        <v>0</v>
      </c>
      <c r="AD111" s="76">
        <f t="shared" si="62"/>
        <v>0</v>
      </c>
      <c r="AE111" s="76">
        <f t="shared" si="63"/>
        <v>0</v>
      </c>
      <c r="AF111" s="76">
        <f t="shared" si="64"/>
        <v>0</v>
      </c>
      <c r="AG111" s="76">
        <f t="shared" si="65"/>
        <v>0</v>
      </c>
      <c r="AH111" s="76">
        <f t="shared" si="66"/>
        <v>0</v>
      </c>
      <c r="AI111" s="62" t="s">
        <v>99</v>
      </c>
      <c r="AJ111" s="76">
        <f t="shared" si="67"/>
        <v>0</v>
      </c>
      <c r="AK111" s="76">
        <f t="shared" si="68"/>
        <v>0</v>
      </c>
      <c r="AL111" s="76">
        <f t="shared" si="69"/>
        <v>0</v>
      </c>
      <c r="AN111" s="76">
        <v>21</v>
      </c>
      <c r="AO111" s="76">
        <f t="shared" si="70"/>
        <v>0</v>
      </c>
      <c r="AP111" s="76">
        <f t="shared" si="71"/>
        <v>0</v>
      </c>
      <c r="AQ111" s="79" t="s">
        <v>123</v>
      </c>
      <c r="AV111" s="76">
        <f t="shared" si="72"/>
        <v>0</v>
      </c>
      <c r="AW111" s="76">
        <f t="shared" si="73"/>
        <v>0</v>
      </c>
      <c r="AX111" s="76">
        <f t="shared" si="74"/>
        <v>0</v>
      </c>
      <c r="AY111" s="79" t="s">
        <v>378</v>
      </c>
      <c r="AZ111" s="79" t="s">
        <v>360</v>
      </c>
      <c r="BA111" s="62" t="s">
        <v>108</v>
      </c>
      <c r="BC111" s="76">
        <f t="shared" si="75"/>
        <v>0</v>
      </c>
      <c r="BD111" s="76">
        <f t="shared" si="76"/>
        <v>0</v>
      </c>
      <c r="BE111" s="76">
        <v>0</v>
      </c>
      <c r="BF111" s="76">
        <f>111</f>
        <v>111</v>
      </c>
      <c r="BH111" s="76">
        <f t="shared" si="77"/>
        <v>0</v>
      </c>
      <c r="BI111" s="76">
        <f t="shared" si="78"/>
        <v>0</v>
      </c>
      <c r="BJ111" s="76">
        <f t="shared" si="79"/>
        <v>0</v>
      </c>
      <c r="BK111" s="76"/>
      <c r="BL111" s="76"/>
    </row>
    <row r="112" spans="1:64" ht="15" customHeight="1">
      <c r="A112" s="75" t="s">
        <v>390</v>
      </c>
      <c r="B112" s="14" t="s">
        <v>391</v>
      </c>
      <c r="C112" s="14" t="s">
        <v>392</v>
      </c>
      <c r="D112" s="14"/>
      <c r="E112" s="14"/>
      <c r="F112" s="14"/>
      <c r="G112" s="14" t="s">
        <v>365</v>
      </c>
      <c r="H112" s="76">
        <v>9.3</v>
      </c>
      <c r="I112" s="77">
        <v>0</v>
      </c>
      <c r="J112" s="76">
        <f t="shared" si="56"/>
        <v>0</v>
      </c>
      <c r="K112" s="76">
        <f t="shared" si="57"/>
        <v>0</v>
      </c>
      <c r="L112" s="76">
        <f t="shared" si="58"/>
        <v>0</v>
      </c>
      <c r="M112" s="78" t="s">
        <v>104</v>
      </c>
      <c r="Z112" s="76">
        <f t="shared" si="59"/>
        <v>0</v>
      </c>
      <c r="AB112" s="76">
        <f t="shared" si="60"/>
        <v>0</v>
      </c>
      <c r="AC112" s="76">
        <f t="shared" si="61"/>
        <v>0</v>
      </c>
      <c r="AD112" s="76">
        <f t="shared" si="62"/>
        <v>0</v>
      </c>
      <c r="AE112" s="76">
        <f t="shared" si="63"/>
        <v>0</v>
      </c>
      <c r="AF112" s="76">
        <f t="shared" si="64"/>
        <v>0</v>
      </c>
      <c r="AG112" s="76">
        <f t="shared" si="65"/>
        <v>0</v>
      </c>
      <c r="AH112" s="76">
        <f t="shared" si="66"/>
        <v>0</v>
      </c>
      <c r="AI112" s="62" t="s">
        <v>99</v>
      </c>
      <c r="AJ112" s="76">
        <f t="shared" si="67"/>
        <v>0</v>
      </c>
      <c r="AK112" s="76">
        <f t="shared" si="68"/>
        <v>0</v>
      </c>
      <c r="AL112" s="76">
        <f t="shared" si="69"/>
        <v>0</v>
      </c>
      <c r="AN112" s="76">
        <v>21</v>
      </c>
      <c r="AO112" s="76">
        <f t="shared" si="70"/>
        <v>0</v>
      </c>
      <c r="AP112" s="76">
        <f t="shared" si="71"/>
        <v>0</v>
      </c>
      <c r="AQ112" s="79" t="s">
        <v>123</v>
      </c>
      <c r="AV112" s="76">
        <f t="shared" si="72"/>
        <v>0</v>
      </c>
      <c r="AW112" s="76">
        <f t="shared" si="73"/>
        <v>0</v>
      </c>
      <c r="AX112" s="76">
        <f t="shared" si="74"/>
        <v>0</v>
      </c>
      <c r="AY112" s="79" t="s">
        <v>378</v>
      </c>
      <c r="AZ112" s="79" t="s">
        <v>360</v>
      </c>
      <c r="BA112" s="62" t="s">
        <v>108</v>
      </c>
      <c r="BC112" s="76">
        <f t="shared" si="75"/>
        <v>0</v>
      </c>
      <c r="BD112" s="76">
        <f t="shared" si="76"/>
        <v>0</v>
      </c>
      <c r="BE112" s="76">
        <v>0</v>
      </c>
      <c r="BF112" s="76">
        <f>112</f>
        <v>112</v>
      </c>
      <c r="BH112" s="76">
        <f t="shared" si="77"/>
        <v>0</v>
      </c>
      <c r="BI112" s="76">
        <f t="shared" si="78"/>
        <v>0</v>
      </c>
      <c r="BJ112" s="76">
        <f t="shared" si="79"/>
        <v>0</v>
      </c>
      <c r="BK112" s="76"/>
      <c r="BL112" s="76"/>
    </row>
    <row r="113" spans="1:64" ht="15" customHeight="1">
      <c r="A113" s="75" t="s">
        <v>393</v>
      </c>
      <c r="B113" s="14" t="s">
        <v>394</v>
      </c>
      <c r="C113" s="14" t="s">
        <v>395</v>
      </c>
      <c r="D113" s="14"/>
      <c r="E113" s="14"/>
      <c r="F113" s="14"/>
      <c r="G113" s="14" t="s">
        <v>365</v>
      </c>
      <c r="H113" s="76">
        <v>9.3</v>
      </c>
      <c r="I113" s="77">
        <v>0</v>
      </c>
      <c r="J113" s="76">
        <f t="shared" si="56"/>
        <v>0</v>
      </c>
      <c r="K113" s="76">
        <f t="shared" si="57"/>
        <v>0</v>
      </c>
      <c r="L113" s="76">
        <f t="shared" si="58"/>
        <v>0</v>
      </c>
      <c r="M113" s="78" t="s">
        <v>104</v>
      </c>
      <c r="Z113" s="76">
        <f t="shared" si="59"/>
        <v>0</v>
      </c>
      <c r="AB113" s="76">
        <f t="shared" si="60"/>
        <v>0</v>
      </c>
      <c r="AC113" s="76">
        <f t="shared" si="61"/>
        <v>0</v>
      </c>
      <c r="AD113" s="76">
        <f t="shared" si="62"/>
        <v>0</v>
      </c>
      <c r="AE113" s="76">
        <f t="shared" si="63"/>
        <v>0</v>
      </c>
      <c r="AF113" s="76">
        <f t="shared" si="64"/>
        <v>0</v>
      </c>
      <c r="AG113" s="76">
        <f t="shared" si="65"/>
        <v>0</v>
      </c>
      <c r="AH113" s="76">
        <f t="shared" si="66"/>
        <v>0</v>
      </c>
      <c r="AI113" s="62" t="s">
        <v>99</v>
      </c>
      <c r="AJ113" s="76">
        <f t="shared" si="67"/>
        <v>0</v>
      </c>
      <c r="AK113" s="76">
        <f t="shared" si="68"/>
        <v>0</v>
      </c>
      <c r="AL113" s="76">
        <f t="shared" si="69"/>
        <v>0</v>
      </c>
      <c r="AN113" s="76">
        <v>21</v>
      </c>
      <c r="AO113" s="76">
        <f t="shared" si="70"/>
        <v>0</v>
      </c>
      <c r="AP113" s="76">
        <f t="shared" si="71"/>
        <v>0</v>
      </c>
      <c r="AQ113" s="79" t="s">
        <v>123</v>
      </c>
      <c r="AV113" s="76">
        <f t="shared" si="72"/>
        <v>0</v>
      </c>
      <c r="AW113" s="76">
        <f t="shared" si="73"/>
        <v>0</v>
      </c>
      <c r="AX113" s="76">
        <f t="shared" si="74"/>
        <v>0</v>
      </c>
      <c r="AY113" s="79" t="s">
        <v>378</v>
      </c>
      <c r="AZ113" s="79" t="s">
        <v>360</v>
      </c>
      <c r="BA113" s="62" t="s">
        <v>108</v>
      </c>
      <c r="BC113" s="76">
        <f t="shared" si="75"/>
        <v>0</v>
      </c>
      <c r="BD113" s="76">
        <f t="shared" si="76"/>
        <v>0</v>
      </c>
      <c r="BE113" s="76">
        <v>0</v>
      </c>
      <c r="BF113" s="76">
        <f>113</f>
        <v>113</v>
      </c>
      <c r="BH113" s="76">
        <f t="shared" si="77"/>
        <v>0</v>
      </c>
      <c r="BI113" s="76">
        <f t="shared" si="78"/>
        <v>0</v>
      </c>
      <c r="BJ113" s="76">
        <f t="shared" si="79"/>
        <v>0</v>
      </c>
      <c r="BK113" s="76"/>
      <c r="BL113" s="76"/>
    </row>
    <row r="114" spans="1:64" ht="15" customHeight="1">
      <c r="A114" s="75" t="s">
        <v>396</v>
      </c>
      <c r="B114" s="14" t="s">
        <v>397</v>
      </c>
      <c r="C114" s="14" t="s">
        <v>398</v>
      </c>
      <c r="D114" s="14"/>
      <c r="E114" s="14"/>
      <c r="F114" s="14"/>
      <c r="G114" s="14" t="s">
        <v>365</v>
      </c>
      <c r="H114" s="76">
        <v>9.3</v>
      </c>
      <c r="I114" s="77">
        <v>0</v>
      </c>
      <c r="J114" s="76">
        <f t="shared" si="56"/>
        <v>0</v>
      </c>
      <c r="K114" s="76">
        <f t="shared" si="57"/>
        <v>0</v>
      </c>
      <c r="L114" s="76">
        <f t="shared" si="58"/>
        <v>0</v>
      </c>
      <c r="M114" s="78" t="s">
        <v>104</v>
      </c>
      <c r="Z114" s="76">
        <f t="shared" si="59"/>
        <v>0</v>
      </c>
      <c r="AB114" s="76">
        <f t="shared" si="60"/>
        <v>0</v>
      </c>
      <c r="AC114" s="76">
        <f t="shared" si="61"/>
        <v>0</v>
      </c>
      <c r="AD114" s="76">
        <f t="shared" si="62"/>
        <v>0</v>
      </c>
      <c r="AE114" s="76">
        <f t="shared" si="63"/>
        <v>0</v>
      </c>
      <c r="AF114" s="76">
        <f t="shared" si="64"/>
        <v>0</v>
      </c>
      <c r="AG114" s="76">
        <f t="shared" si="65"/>
        <v>0</v>
      </c>
      <c r="AH114" s="76">
        <f t="shared" si="66"/>
        <v>0</v>
      </c>
      <c r="AI114" s="62" t="s">
        <v>99</v>
      </c>
      <c r="AJ114" s="76">
        <f t="shared" si="67"/>
        <v>0</v>
      </c>
      <c r="AK114" s="76">
        <f t="shared" si="68"/>
        <v>0</v>
      </c>
      <c r="AL114" s="76">
        <f t="shared" si="69"/>
        <v>0</v>
      </c>
      <c r="AN114" s="76">
        <v>21</v>
      </c>
      <c r="AO114" s="76">
        <f t="shared" si="70"/>
        <v>0</v>
      </c>
      <c r="AP114" s="76">
        <f t="shared" si="71"/>
        <v>0</v>
      </c>
      <c r="AQ114" s="79" t="s">
        <v>123</v>
      </c>
      <c r="AV114" s="76">
        <f t="shared" si="72"/>
        <v>0</v>
      </c>
      <c r="AW114" s="76">
        <f t="shared" si="73"/>
        <v>0</v>
      </c>
      <c r="AX114" s="76">
        <f t="shared" si="74"/>
        <v>0</v>
      </c>
      <c r="AY114" s="79" t="s">
        <v>378</v>
      </c>
      <c r="AZ114" s="79" t="s">
        <v>360</v>
      </c>
      <c r="BA114" s="62" t="s">
        <v>108</v>
      </c>
      <c r="BC114" s="76">
        <f t="shared" si="75"/>
        <v>0</v>
      </c>
      <c r="BD114" s="76">
        <f t="shared" si="76"/>
        <v>0</v>
      </c>
      <c r="BE114" s="76">
        <v>0</v>
      </c>
      <c r="BF114" s="76">
        <f>114</f>
        <v>114</v>
      </c>
      <c r="BH114" s="76">
        <f t="shared" si="77"/>
        <v>0</v>
      </c>
      <c r="BI114" s="76">
        <f t="shared" si="78"/>
        <v>0</v>
      </c>
      <c r="BJ114" s="76">
        <f t="shared" si="79"/>
        <v>0</v>
      </c>
      <c r="BK114" s="76"/>
      <c r="BL114" s="76"/>
    </row>
    <row r="115" spans="1:64" ht="15" customHeight="1">
      <c r="A115" s="75" t="s">
        <v>399</v>
      </c>
      <c r="B115" s="14" t="s">
        <v>400</v>
      </c>
      <c r="C115" s="14" t="s">
        <v>401</v>
      </c>
      <c r="D115" s="14"/>
      <c r="E115" s="14"/>
      <c r="F115" s="14"/>
      <c r="G115" s="14" t="s">
        <v>365</v>
      </c>
      <c r="H115" s="76">
        <v>1.5</v>
      </c>
      <c r="I115" s="77">
        <v>0</v>
      </c>
      <c r="J115" s="76">
        <f t="shared" si="56"/>
        <v>0</v>
      </c>
      <c r="K115" s="76">
        <f t="shared" si="57"/>
        <v>0</v>
      </c>
      <c r="L115" s="76">
        <f t="shared" si="58"/>
        <v>0</v>
      </c>
      <c r="M115" s="78" t="s">
        <v>104</v>
      </c>
      <c r="Z115" s="76">
        <f t="shared" si="59"/>
        <v>0</v>
      </c>
      <c r="AB115" s="76">
        <f t="shared" si="60"/>
        <v>0</v>
      </c>
      <c r="AC115" s="76">
        <f t="shared" si="61"/>
        <v>0</v>
      </c>
      <c r="AD115" s="76">
        <f t="shared" si="62"/>
        <v>0</v>
      </c>
      <c r="AE115" s="76">
        <f t="shared" si="63"/>
        <v>0</v>
      </c>
      <c r="AF115" s="76">
        <f t="shared" si="64"/>
        <v>0</v>
      </c>
      <c r="AG115" s="76">
        <f t="shared" si="65"/>
        <v>0</v>
      </c>
      <c r="AH115" s="76">
        <f t="shared" si="66"/>
        <v>0</v>
      </c>
      <c r="AI115" s="62" t="s">
        <v>99</v>
      </c>
      <c r="AJ115" s="76">
        <f t="shared" si="67"/>
        <v>0</v>
      </c>
      <c r="AK115" s="76">
        <f t="shared" si="68"/>
        <v>0</v>
      </c>
      <c r="AL115" s="76">
        <f t="shared" si="69"/>
        <v>0</v>
      </c>
      <c r="AN115" s="76">
        <v>21</v>
      </c>
      <c r="AO115" s="76">
        <f t="shared" si="70"/>
        <v>0</v>
      </c>
      <c r="AP115" s="76">
        <f t="shared" si="71"/>
        <v>0</v>
      </c>
      <c r="AQ115" s="79" t="s">
        <v>123</v>
      </c>
      <c r="AV115" s="76">
        <f t="shared" si="72"/>
        <v>0</v>
      </c>
      <c r="AW115" s="76">
        <f t="shared" si="73"/>
        <v>0</v>
      </c>
      <c r="AX115" s="76">
        <f t="shared" si="74"/>
        <v>0</v>
      </c>
      <c r="AY115" s="79" t="s">
        <v>378</v>
      </c>
      <c r="AZ115" s="79" t="s">
        <v>360</v>
      </c>
      <c r="BA115" s="62" t="s">
        <v>108</v>
      </c>
      <c r="BC115" s="76">
        <f t="shared" si="75"/>
        <v>0</v>
      </c>
      <c r="BD115" s="76">
        <f t="shared" si="76"/>
        <v>0</v>
      </c>
      <c r="BE115" s="76">
        <v>0</v>
      </c>
      <c r="BF115" s="76">
        <f>115</f>
        <v>115</v>
      </c>
      <c r="BH115" s="76">
        <f t="shared" si="77"/>
        <v>0</v>
      </c>
      <c r="BI115" s="76">
        <f t="shared" si="78"/>
        <v>0</v>
      </c>
      <c r="BJ115" s="76">
        <f t="shared" si="79"/>
        <v>0</v>
      </c>
      <c r="BK115" s="76"/>
      <c r="BL115" s="76"/>
    </row>
    <row r="116" spans="1:64" ht="15" customHeight="1">
      <c r="A116" s="75" t="s">
        <v>402</v>
      </c>
      <c r="B116" s="14" t="s">
        <v>403</v>
      </c>
      <c r="C116" s="14" t="s">
        <v>404</v>
      </c>
      <c r="D116" s="14"/>
      <c r="E116" s="14"/>
      <c r="F116" s="14"/>
      <c r="G116" s="14" t="s">
        <v>365</v>
      </c>
      <c r="H116" s="76">
        <v>2</v>
      </c>
      <c r="I116" s="77">
        <v>0</v>
      </c>
      <c r="J116" s="76">
        <f t="shared" si="56"/>
        <v>0</v>
      </c>
      <c r="K116" s="76">
        <f t="shared" si="57"/>
        <v>0</v>
      </c>
      <c r="L116" s="76">
        <f t="shared" si="58"/>
        <v>0</v>
      </c>
      <c r="M116" s="78" t="s">
        <v>104</v>
      </c>
      <c r="Z116" s="76">
        <f t="shared" si="59"/>
        <v>0</v>
      </c>
      <c r="AB116" s="76">
        <f t="shared" si="60"/>
        <v>0</v>
      </c>
      <c r="AC116" s="76">
        <f t="shared" si="61"/>
        <v>0</v>
      </c>
      <c r="AD116" s="76">
        <f t="shared" si="62"/>
        <v>0</v>
      </c>
      <c r="AE116" s="76">
        <f t="shared" si="63"/>
        <v>0</v>
      </c>
      <c r="AF116" s="76">
        <f t="shared" si="64"/>
        <v>0</v>
      </c>
      <c r="AG116" s="76">
        <f t="shared" si="65"/>
        <v>0</v>
      </c>
      <c r="AH116" s="76">
        <f t="shared" si="66"/>
        <v>0</v>
      </c>
      <c r="AI116" s="62" t="s">
        <v>99</v>
      </c>
      <c r="AJ116" s="76">
        <f t="shared" si="67"/>
        <v>0</v>
      </c>
      <c r="AK116" s="76">
        <f t="shared" si="68"/>
        <v>0</v>
      </c>
      <c r="AL116" s="76">
        <f t="shared" si="69"/>
        <v>0</v>
      </c>
      <c r="AN116" s="76">
        <v>21</v>
      </c>
      <c r="AO116" s="76">
        <f t="shared" si="70"/>
        <v>0</v>
      </c>
      <c r="AP116" s="76">
        <f t="shared" si="71"/>
        <v>0</v>
      </c>
      <c r="AQ116" s="79" t="s">
        <v>123</v>
      </c>
      <c r="AV116" s="76">
        <f t="shared" si="72"/>
        <v>0</v>
      </c>
      <c r="AW116" s="76">
        <f t="shared" si="73"/>
        <v>0</v>
      </c>
      <c r="AX116" s="76">
        <f t="shared" si="74"/>
        <v>0</v>
      </c>
      <c r="AY116" s="79" t="s">
        <v>378</v>
      </c>
      <c r="AZ116" s="79" t="s">
        <v>360</v>
      </c>
      <c r="BA116" s="62" t="s">
        <v>108</v>
      </c>
      <c r="BC116" s="76">
        <f t="shared" si="75"/>
        <v>0</v>
      </c>
      <c r="BD116" s="76">
        <f t="shared" si="76"/>
        <v>0</v>
      </c>
      <c r="BE116" s="76">
        <v>0</v>
      </c>
      <c r="BF116" s="76">
        <f>116</f>
        <v>116</v>
      </c>
      <c r="BH116" s="76">
        <f t="shared" si="77"/>
        <v>0</v>
      </c>
      <c r="BI116" s="76">
        <f t="shared" si="78"/>
        <v>0</v>
      </c>
      <c r="BJ116" s="76">
        <f t="shared" si="79"/>
        <v>0</v>
      </c>
      <c r="BK116" s="76"/>
      <c r="BL116" s="76"/>
    </row>
    <row r="117" spans="1:64" ht="15" customHeight="1">
      <c r="A117" s="75" t="s">
        <v>353</v>
      </c>
      <c r="B117" s="14" t="s">
        <v>405</v>
      </c>
      <c r="C117" s="14" t="s">
        <v>406</v>
      </c>
      <c r="D117" s="14"/>
      <c r="E117" s="14"/>
      <c r="F117" s="14"/>
      <c r="G117" s="14" t="s">
        <v>365</v>
      </c>
      <c r="H117" s="76">
        <v>4.2</v>
      </c>
      <c r="I117" s="77">
        <v>0</v>
      </c>
      <c r="J117" s="76">
        <f t="shared" si="56"/>
        <v>0</v>
      </c>
      <c r="K117" s="76">
        <f t="shared" si="57"/>
        <v>0</v>
      </c>
      <c r="L117" s="76">
        <f t="shared" si="58"/>
        <v>0</v>
      </c>
      <c r="M117" s="78" t="s">
        <v>104</v>
      </c>
      <c r="Z117" s="76">
        <f t="shared" si="59"/>
        <v>0</v>
      </c>
      <c r="AB117" s="76">
        <f t="shared" si="60"/>
        <v>0</v>
      </c>
      <c r="AC117" s="76">
        <f t="shared" si="61"/>
        <v>0</v>
      </c>
      <c r="AD117" s="76">
        <f t="shared" si="62"/>
        <v>0</v>
      </c>
      <c r="AE117" s="76">
        <f t="shared" si="63"/>
        <v>0</v>
      </c>
      <c r="AF117" s="76">
        <f t="shared" si="64"/>
        <v>0</v>
      </c>
      <c r="AG117" s="76">
        <f t="shared" si="65"/>
        <v>0</v>
      </c>
      <c r="AH117" s="76">
        <f t="shared" si="66"/>
        <v>0</v>
      </c>
      <c r="AI117" s="62" t="s">
        <v>99</v>
      </c>
      <c r="AJ117" s="76">
        <f t="shared" si="67"/>
        <v>0</v>
      </c>
      <c r="AK117" s="76">
        <f t="shared" si="68"/>
        <v>0</v>
      </c>
      <c r="AL117" s="76">
        <f t="shared" si="69"/>
        <v>0</v>
      </c>
      <c r="AN117" s="76">
        <v>21</v>
      </c>
      <c r="AO117" s="76">
        <f t="shared" si="70"/>
        <v>0</v>
      </c>
      <c r="AP117" s="76">
        <f t="shared" si="71"/>
        <v>0</v>
      </c>
      <c r="AQ117" s="79" t="s">
        <v>123</v>
      </c>
      <c r="AV117" s="76">
        <f t="shared" si="72"/>
        <v>0</v>
      </c>
      <c r="AW117" s="76">
        <f t="shared" si="73"/>
        <v>0</v>
      </c>
      <c r="AX117" s="76">
        <f t="shared" si="74"/>
        <v>0</v>
      </c>
      <c r="AY117" s="79" t="s">
        <v>378</v>
      </c>
      <c r="AZ117" s="79" t="s">
        <v>360</v>
      </c>
      <c r="BA117" s="62" t="s">
        <v>108</v>
      </c>
      <c r="BC117" s="76">
        <f t="shared" si="75"/>
        <v>0</v>
      </c>
      <c r="BD117" s="76">
        <f t="shared" si="76"/>
        <v>0</v>
      </c>
      <c r="BE117" s="76">
        <v>0</v>
      </c>
      <c r="BF117" s="76">
        <f>117</f>
        <v>117</v>
      </c>
      <c r="BH117" s="76">
        <f t="shared" si="77"/>
        <v>0</v>
      </c>
      <c r="BI117" s="76">
        <f t="shared" si="78"/>
        <v>0</v>
      </c>
      <c r="BJ117" s="76">
        <f t="shared" si="79"/>
        <v>0</v>
      </c>
      <c r="BK117" s="76"/>
      <c r="BL117" s="76"/>
    </row>
    <row r="118" spans="1:47" ht="15" customHeight="1">
      <c r="A118" s="71"/>
      <c r="B118" s="72"/>
      <c r="C118" s="72" t="s">
        <v>34</v>
      </c>
      <c r="D118" s="72"/>
      <c r="E118" s="72"/>
      <c r="F118" s="72"/>
      <c r="G118" s="73" t="s">
        <v>65</v>
      </c>
      <c r="H118" s="73" t="s">
        <v>65</v>
      </c>
      <c r="I118" s="73" t="s">
        <v>65</v>
      </c>
      <c r="J118" s="52">
        <f>SUM(J119:J125)</f>
        <v>0</v>
      </c>
      <c r="K118" s="52">
        <f>SUM(K119:K125)</f>
        <v>0</v>
      </c>
      <c r="L118" s="52">
        <f>SUM(L119:L125)</f>
        <v>0</v>
      </c>
      <c r="M118" s="74"/>
      <c r="AI118" s="62" t="s">
        <v>99</v>
      </c>
      <c r="AS118" s="52">
        <f>SUM(AJ119:AJ125)</f>
        <v>0</v>
      </c>
      <c r="AT118" s="52">
        <f>SUM(AK119:AK125)</f>
        <v>0</v>
      </c>
      <c r="AU118" s="52">
        <f>SUM(AL119:AL125)</f>
        <v>0</v>
      </c>
    </row>
    <row r="119" spans="1:64" ht="15" customHeight="1">
      <c r="A119" s="75" t="s">
        <v>407</v>
      </c>
      <c r="B119" s="14" t="s">
        <v>408</v>
      </c>
      <c r="C119" s="14" t="s">
        <v>409</v>
      </c>
      <c r="D119" s="14"/>
      <c r="E119" s="14"/>
      <c r="F119" s="14"/>
      <c r="G119" s="14" t="s">
        <v>103</v>
      </c>
      <c r="H119" s="76">
        <v>2</v>
      </c>
      <c r="I119" s="77">
        <v>0</v>
      </c>
      <c r="J119" s="76">
        <f aca="true" t="shared" si="80" ref="J119:J125">H119*AO119</f>
        <v>0</v>
      </c>
      <c r="K119" s="76">
        <f aca="true" t="shared" si="81" ref="K119:K125">H119*AP119</f>
        <v>0</v>
      </c>
      <c r="L119" s="76">
        <f aca="true" t="shared" si="82" ref="L119:L125">H119*I119</f>
        <v>0</v>
      </c>
      <c r="M119" s="78" t="s">
        <v>104</v>
      </c>
      <c r="Z119" s="76">
        <f aca="true" t="shared" si="83" ref="Z119:Z125">IF(AQ119="5",BJ119,0)</f>
        <v>0</v>
      </c>
      <c r="AB119" s="76">
        <f aca="true" t="shared" si="84" ref="AB119:AB125">IF(AQ119="1",BH119,0)</f>
        <v>0</v>
      </c>
      <c r="AC119" s="76">
        <f aca="true" t="shared" si="85" ref="AC119:AC125">IF(AQ119="1",BI119,0)</f>
        <v>0</v>
      </c>
      <c r="AD119" s="76">
        <f aca="true" t="shared" si="86" ref="AD119:AD125">IF(AQ119="7",BH119,0)</f>
        <v>0</v>
      </c>
      <c r="AE119" s="76">
        <f aca="true" t="shared" si="87" ref="AE119:AE125">IF(AQ119="7",BI119,0)</f>
        <v>0</v>
      </c>
      <c r="AF119" s="76">
        <f aca="true" t="shared" si="88" ref="AF119:AF125">IF(AQ119="2",BH119,0)</f>
        <v>0</v>
      </c>
      <c r="AG119" s="76">
        <f aca="true" t="shared" si="89" ref="AG119:AG125">IF(AQ119="2",BI119,0)</f>
        <v>0</v>
      </c>
      <c r="AH119" s="76">
        <f aca="true" t="shared" si="90" ref="AH119:AH125">IF(AQ119="0",BJ119,0)</f>
        <v>0</v>
      </c>
      <c r="AI119" s="62" t="s">
        <v>99</v>
      </c>
      <c r="AJ119" s="76">
        <f aca="true" t="shared" si="91" ref="AJ119:AJ125">IF(AN119=0,L119,0)</f>
        <v>0</v>
      </c>
      <c r="AK119" s="76">
        <f aca="true" t="shared" si="92" ref="AK119:AK125">IF(AN119=15,L119,0)</f>
        <v>0</v>
      </c>
      <c r="AL119" s="76">
        <f aca="true" t="shared" si="93" ref="AL119:AL125">IF(AN119=21,L119,0)</f>
        <v>0</v>
      </c>
      <c r="AN119" s="76">
        <v>21</v>
      </c>
      <c r="AO119" s="76">
        <f aca="true" t="shared" si="94" ref="AO119:AO125">I119*1</f>
        <v>0</v>
      </c>
      <c r="AP119" s="76">
        <f aca="true" t="shared" si="95" ref="AP119:AP125">I119*(1-1)</f>
        <v>0</v>
      </c>
      <c r="AQ119" s="79" t="s">
        <v>410</v>
      </c>
      <c r="AV119" s="76">
        <f aca="true" t="shared" si="96" ref="AV119:AV125">AW119+AX119</f>
        <v>0</v>
      </c>
      <c r="AW119" s="76">
        <f aca="true" t="shared" si="97" ref="AW119:AW125">H119*AO119</f>
        <v>0</v>
      </c>
      <c r="AX119" s="76">
        <f aca="true" t="shared" si="98" ref="AX119:AX125">H119*AP119</f>
        <v>0</v>
      </c>
      <c r="AY119" s="79" t="s">
        <v>411</v>
      </c>
      <c r="AZ119" s="79" t="s">
        <v>412</v>
      </c>
      <c r="BA119" s="62" t="s">
        <v>108</v>
      </c>
      <c r="BC119" s="76">
        <f aca="true" t="shared" si="99" ref="BC119:BC125">AW119+AX119</f>
        <v>0</v>
      </c>
      <c r="BD119" s="76">
        <f aca="true" t="shared" si="100" ref="BD119:BD125">I119/(100-BE119)*100</f>
        <v>0</v>
      </c>
      <c r="BE119" s="76">
        <v>0</v>
      </c>
      <c r="BF119" s="76">
        <f>119</f>
        <v>119</v>
      </c>
      <c r="BH119" s="76">
        <f aca="true" t="shared" si="101" ref="BH119:BH125">H119*AO119</f>
        <v>0</v>
      </c>
      <c r="BI119" s="76">
        <f aca="true" t="shared" si="102" ref="BI119:BI125">H119*AP119</f>
        <v>0</v>
      </c>
      <c r="BJ119" s="76">
        <f aca="true" t="shared" si="103" ref="BJ119:BJ125">H119*I119</f>
        <v>0</v>
      </c>
      <c r="BK119" s="76"/>
      <c r="BL119" s="76"/>
    </row>
    <row r="120" spans="1:64" ht="15" customHeight="1">
      <c r="A120" s="75" t="s">
        <v>413</v>
      </c>
      <c r="B120" s="14" t="s">
        <v>414</v>
      </c>
      <c r="C120" s="14" t="s">
        <v>415</v>
      </c>
      <c r="D120" s="14"/>
      <c r="E120" s="14"/>
      <c r="F120" s="14"/>
      <c r="G120" s="14" t="s">
        <v>103</v>
      </c>
      <c r="H120" s="76">
        <v>1</v>
      </c>
      <c r="I120" s="77">
        <v>0</v>
      </c>
      <c r="J120" s="76">
        <f t="shared" si="80"/>
        <v>0</v>
      </c>
      <c r="K120" s="76">
        <f t="shared" si="81"/>
        <v>0</v>
      </c>
      <c r="L120" s="76">
        <f t="shared" si="82"/>
        <v>0</v>
      </c>
      <c r="M120" s="78" t="s">
        <v>104</v>
      </c>
      <c r="Z120" s="76">
        <f t="shared" si="83"/>
        <v>0</v>
      </c>
      <c r="AB120" s="76">
        <f t="shared" si="84"/>
        <v>0</v>
      </c>
      <c r="AC120" s="76">
        <f t="shared" si="85"/>
        <v>0</v>
      </c>
      <c r="AD120" s="76">
        <f t="shared" si="86"/>
        <v>0</v>
      </c>
      <c r="AE120" s="76">
        <f t="shared" si="87"/>
        <v>0</v>
      </c>
      <c r="AF120" s="76">
        <f t="shared" si="88"/>
        <v>0</v>
      </c>
      <c r="AG120" s="76">
        <f t="shared" si="89"/>
        <v>0</v>
      </c>
      <c r="AH120" s="76">
        <f t="shared" si="90"/>
        <v>0</v>
      </c>
      <c r="AI120" s="62" t="s">
        <v>99</v>
      </c>
      <c r="AJ120" s="76">
        <f t="shared" si="91"/>
        <v>0</v>
      </c>
      <c r="AK120" s="76">
        <f t="shared" si="92"/>
        <v>0</v>
      </c>
      <c r="AL120" s="76">
        <f t="shared" si="93"/>
        <v>0</v>
      </c>
      <c r="AN120" s="76">
        <v>21</v>
      </c>
      <c r="AO120" s="76">
        <f t="shared" si="94"/>
        <v>0</v>
      </c>
      <c r="AP120" s="76">
        <f t="shared" si="95"/>
        <v>0</v>
      </c>
      <c r="AQ120" s="79" t="s">
        <v>410</v>
      </c>
      <c r="AV120" s="76">
        <f t="shared" si="96"/>
        <v>0</v>
      </c>
      <c r="AW120" s="76">
        <f t="shared" si="97"/>
        <v>0</v>
      </c>
      <c r="AX120" s="76">
        <f t="shared" si="98"/>
        <v>0</v>
      </c>
      <c r="AY120" s="79" t="s">
        <v>411</v>
      </c>
      <c r="AZ120" s="79" t="s">
        <v>412</v>
      </c>
      <c r="BA120" s="62" t="s">
        <v>108</v>
      </c>
      <c r="BC120" s="76">
        <f t="shared" si="99"/>
        <v>0</v>
      </c>
      <c r="BD120" s="76">
        <f t="shared" si="100"/>
        <v>0</v>
      </c>
      <c r="BE120" s="76">
        <v>0</v>
      </c>
      <c r="BF120" s="76">
        <f>120</f>
        <v>120</v>
      </c>
      <c r="BH120" s="76">
        <f t="shared" si="101"/>
        <v>0</v>
      </c>
      <c r="BI120" s="76">
        <f t="shared" si="102"/>
        <v>0</v>
      </c>
      <c r="BJ120" s="76">
        <f t="shared" si="103"/>
        <v>0</v>
      </c>
      <c r="BK120" s="76"/>
      <c r="BL120" s="76"/>
    </row>
    <row r="121" spans="1:64" ht="15" customHeight="1">
      <c r="A121" s="75" t="s">
        <v>416</v>
      </c>
      <c r="B121" s="14" t="s">
        <v>417</v>
      </c>
      <c r="C121" s="14" t="s">
        <v>418</v>
      </c>
      <c r="D121" s="14"/>
      <c r="E121" s="14"/>
      <c r="F121" s="14"/>
      <c r="G121" s="14" t="s">
        <v>103</v>
      </c>
      <c r="H121" s="76">
        <v>3</v>
      </c>
      <c r="I121" s="77">
        <v>0</v>
      </c>
      <c r="J121" s="76">
        <f t="shared" si="80"/>
        <v>0</v>
      </c>
      <c r="K121" s="76">
        <f t="shared" si="81"/>
        <v>0</v>
      </c>
      <c r="L121" s="76">
        <f t="shared" si="82"/>
        <v>0</v>
      </c>
      <c r="M121" s="78" t="s">
        <v>104</v>
      </c>
      <c r="Z121" s="76">
        <f t="shared" si="83"/>
        <v>0</v>
      </c>
      <c r="AB121" s="76">
        <f t="shared" si="84"/>
        <v>0</v>
      </c>
      <c r="AC121" s="76">
        <f t="shared" si="85"/>
        <v>0</v>
      </c>
      <c r="AD121" s="76">
        <f t="shared" si="86"/>
        <v>0</v>
      </c>
      <c r="AE121" s="76">
        <f t="shared" si="87"/>
        <v>0</v>
      </c>
      <c r="AF121" s="76">
        <f t="shared" si="88"/>
        <v>0</v>
      </c>
      <c r="AG121" s="76">
        <f t="shared" si="89"/>
        <v>0</v>
      </c>
      <c r="AH121" s="76">
        <f t="shared" si="90"/>
        <v>0</v>
      </c>
      <c r="AI121" s="62" t="s">
        <v>99</v>
      </c>
      <c r="AJ121" s="76">
        <f t="shared" si="91"/>
        <v>0</v>
      </c>
      <c r="AK121" s="76">
        <f t="shared" si="92"/>
        <v>0</v>
      </c>
      <c r="AL121" s="76">
        <f t="shared" si="93"/>
        <v>0</v>
      </c>
      <c r="AN121" s="76">
        <v>21</v>
      </c>
      <c r="AO121" s="76">
        <f t="shared" si="94"/>
        <v>0</v>
      </c>
      <c r="AP121" s="76">
        <f t="shared" si="95"/>
        <v>0</v>
      </c>
      <c r="AQ121" s="79" t="s">
        <v>410</v>
      </c>
      <c r="AV121" s="76">
        <f t="shared" si="96"/>
        <v>0</v>
      </c>
      <c r="AW121" s="76">
        <f t="shared" si="97"/>
        <v>0</v>
      </c>
      <c r="AX121" s="76">
        <f t="shared" si="98"/>
        <v>0</v>
      </c>
      <c r="AY121" s="79" t="s">
        <v>411</v>
      </c>
      <c r="AZ121" s="79" t="s">
        <v>412</v>
      </c>
      <c r="BA121" s="62" t="s">
        <v>108</v>
      </c>
      <c r="BC121" s="76">
        <f t="shared" si="99"/>
        <v>0</v>
      </c>
      <c r="BD121" s="76">
        <f t="shared" si="100"/>
        <v>0</v>
      </c>
      <c r="BE121" s="76">
        <v>0</v>
      </c>
      <c r="BF121" s="76">
        <f>121</f>
        <v>121</v>
      </c>
      <c r="BH121" s="76">
        <f t="shared" si="101"/>
        <v>0</v>
      </c>
      <c r="BI121" s="76">
        <f t="shared" si="102"/>
        <v>0</v>
      </c>
      <c r="BJ121" s="76">
        <f t="shared" si="103"/>
        <v>0</v>
      </c>
      <c r="BK121" s="76"/>
      <c r="BL121" s="76"/>
    </row>
    <row r="122" spans="1:64" ht="15" customHeight="1">
      <c r="A122" s="75" t="s">
        <v>419</v>
      </c>
      <c r="B122" s="14" t="s">
        <v>420</v>
      </c>
      <c r="C122" s="14" t="s">
        <v>421</v>
      </c>
      <c r="D122" s="14"/>
      <c r="E122" s="14"/>
      <c r="F122" s="14"/>
      <c r="G122" s="14" t="s">
        <v>103</v>
      </c>
      <c r="H122" s="76">
        <v>1</v>
      </c>
      <c r="I122" s="77">
        <v>0</v>
      </c>
      <c r="J122" s="76">
        <f t="shared" si="80"/>
        <v>0</v>
      </c>
      <c r="K122" s="76">
        <f t="shared" si="81"/>
        <v>0</v>
      </c>
      <c r="L122" s="76">
        <f t="shared" si="82"/>
        <v>0</v>
      </c>
      <c r="M122" s="78" t="s">
        <v>104</v>
      </c>
      <c r="Z122" s="76">
        <f t="shared" si="83"/>
        <v>0</v>
      </c>
      <c r="AB122" s="76">
        <f t="shared" si="84"/>
        <v>0</v>
      </c>
      <c r="AC122" s="76">
        <f t="shared" si="85"/>
        <v>0</v>
      </c>
      <c r="AD122" s="76">
        <f t="shared" si="86"/>
        <v>0</v>
      </c>
      <c r="AE122" s="76">
        <f t="shared" si="87"/>
        <v>0</v>
      </c>
      <c r="AF122" s="76">
        <f t="shared" si="88"/>
        <v>0</v>
      </c>
      <c r="AG122" s="76">
        <f t="shared" si="89"/>
        <v>0</v>
      </c>
      <c r="AH122" s="76">
        <f t="shared" si="90"/>
        <v>0</v>
      </c>
      <c r="AI122" s="62" t="s">
        <v>99</v>
      </c>
      <c r="AJ122" s="76">
        <f t="shared" si="91"/>
        <v>0</v>
      </c>
      <c r="AK122" s="76">
        <f t="shared" si="92"/>
        <v>0</v>
      </c>
      <c r="AL122" s="76">
        <f t="shared" si="93"/>
        <v>0</v>
      </c>
      <c r="AN122" s="76">
        <v>21</v>
      </c>
      <c r="AO122" s="76">
        <f t="shared" si="94"/>
        <v>0</v>
      </c>
      <c r="AP122" s="76">
        <f t="shared" si="95"/>
        <v>0</v>
      </c>
      <c r="AQ122" s="79" t="s">
        <v>410</v>
      </c>
      <c r="AV122" s="76">
        <f t="shared" si="96"/>
        <v>0</v>
      </c>
      <c r="AW122" s="76">
        <f t="shared" si="97"/>
        <v>0</v>
      </c>
      <c r="AX122" s="76">
        <f t="shared" si="98"/>
        <v>0</v>
      </c>
      <c r="AY122" s="79" t="s">
        <v>411</v>
      </c>
      <c r="AZ122" s="79" t="s">
        <v>412</v>
      </c>
      <c r="BA122" s="62" t="s">
        <v>108</v>
      </c>
      <c r="BC122" s="76">
        <f t="shared" si="99"/>
        <v>0</v>
      </c>
      <c r="BD122" s="76">
        <f t="shared" si="100"/>
        <v>0</v>
      </c>
      <c r="BE122" s="76">
        <v>0</v>
      </c>
      <c r="BF122" s="76">
        <f>122</f>
        <v>122</v>
      </c>
      <c r="BH122" s="76">
        <f t="shared" si="101"/>
        <v>0</v>
      </c>
      <c r="BI122" s="76">
        <f t="shared" si="102"/>
        <v>0</v>
      </c>
      <c r="BJ122" s="76">
        <f t="shared" si="103"/>
        <v>0</v>
      </c>
      <c r="BK122" s="76"/>
      <c r="BL122" s="76"/>
    </row>
    <row r="123" spans="1:64" ht="15" customHeight="1">
      <c r="A123" s="75" t="s">
        <v>422</v>
      </c>
      <c r="B123" s="14" t="s">
        <v>423</v>
      </c>
      <c r="C123" s="14" t="s">
        <v>424</v>
      </c>
      <c r="D123" s="14"/>
      <c r="E123" s="14"/>
      <c r="F123" s="14"/>
      <c r="G123" s="14" t="s">
        <v>103</v>
      </c>
      <c r="H123" s="76">
        <v>11</v>
      </c>
      <c r="I123" s="77">
        <v>0</v>
      </c>
      <c r="J123" s="76">
        <f t="shared" si="80"/>
        <v>0</v>
      </c>
      <c r="K123" s="76">
        <f t="shared" si="81"/>
        <v>0</v>
      </c>
      <c r="L123" s="76">
        <f t="shared" si="82"/>
        <v>0</v>
      </c>
      <c r="M123" s="78" t="s">
        <v>104</v>
      </c>
      <c r="Z123" s="76">
        <f t="shared" si="83"/>
        <v>0</v>
      </c>
      <c r="AB123" s="76">
        <f t="shared" si="84"/>
        <v>0</v>
      </c>
      <c r="AC123" s="76">
        <f t="shared" si="85"/>
        <v>0</v>
      </c>
      <c r="AD123" s="76">
        <f t="shared" si="86"/>
        <v>0</v>
      </c>
      <c r="AE123" s="76">
        <f t="shared" si="87"/>
        <v>0</v>
      </c>
      <c r="AF123" s="76">
        <f t="shared" si="88"/>
        <v>0</v>
      </c>
      <c r="AG123" s="76">
        <f t="shared" si="89"/>
        <v>0</v>
      </c>
      <c r="AH123" s="76">
        <f t="shared" si="90"/>
        <v>0</v>
      </c>
      <c r="AI123" s="62" t="s">
        <v>99</v>
      </c>
      <c r="AJ123" s="76">
        <f t="shared" si="91"/>
        <v>0</v>
      </c>
      <c r="AK123" s="76">
        <f t="shared" si="92"/>
        <v>0</v>
      </c>
      <c r="AL123" s="76">
        <f t="shared" si="93"/>
        <v>0</v>
      </c>
      <c r="AN123" s="76">
        <v>21</v>
      </c>
      <c r="AO123" s="76">
        <f t="shared" si="94"/>
        <v>0</v>
      </c>
      <c r="AP123" s="76">
        <f t="shared" si="95"/>
        <v>0</v>
      </c>
      <c r="AQ123" s="79" t="s">
        <v>410</v>
      </c>
      <c r="AV123" s="76">
        <f t="shared" si="96"/>
        <v>0</v>
      </c>
      <c r="AW123" s="76">
        <f t="shared" si="97"/>
        <v>0</v>
      </c>
      <c r="AX123" s="76">
        <f t="shared" si="98"/>
        <v>0</v>
      </c>
      <c r="AY123" s="79" t="s">
        <v>411</v>
      </c>
      <c r="AZ123" s="79" t="s">
        <v>412</v>
      </c>
      <c r="BA123" s="62" t="s">
        <v>108</v>
      </c>
      <c r="BC123" s="76">
        <f t="shared" si="99"/>
        <v>0</v>
      </c>
      <c r="BD123" s="76">
        <f t="shared" si="100"/>
        <v>0</v>
      </c>
      <c r="BE123" s="76">
        <v>0</v>
      </c>
      <c r="BF123" s="76">
        <f>123</f>
        <v>123</v>
      </c>
      <c r="BH123" s="76">
        <f t="shared" si="101"/>
        <v>0</v>
      </c>
      <c r="BI123" s="76">
        <f t="shared" si="102"/>
        <v>0</v>
      </c>
      <c r="BJ123" s="76">
        <f t="shared" si="103"/>
        <v>0</v>
      </c>
      <c r="BK123" s="76"/>
      <c r="BL123" s="76"/>
    </row>
    <row r="124" spans="1:64" ht="15" customHeight="1">
      <c r="A124" s="75" t="s">
        <v>425</v>
      </c>
      <c r="B124" s="14" t="s">
        <v>426</v>
      </c>
      <c r="C124" s="14" t="s">
        <v>427</v>
      </c>
      <c r="D124" s="14"/>
      <c r="E124" s="14"/>
      <c r="F124" s="14"/>
      <c r="G124" s="14" t="s">
        <v>103</v>
      </c>
      <c r="H124" s="76">
        <v>7</v>
      </c>
      <c r="I124" s="77">
        <v>0</v>
      </c>
      <c r="J124" s="76">
        <f t="shared" si="80"/>
        <v>0</v>
      </c>
      <c r="K124" s="76">
        <f t="shared" si="81"/>
        <v>0</v>
      </c>
      <c r="L124" s="76">
        <f t="shared" si="82"/>
        <v>0</v>
      </c>
      <c r="M124" s="78" t="s">
        <v>104</v>
      </c>
      <c r="Z124" s="76">
        <f t="shared" si="83"/>
        <v>0</v>
      </c>
      <c r="AB124" s="76">
        <f t="shared" si="84"/>
        <v>0</v>
      </c>
      <c r="AC124" s="76">
        <f t="shared" si="85"/>
        <v>0</v>
      </c>
      <c r="AD124" s="76">
        <f t="shared" si="86"/>
        <v>0</v>
      </c>
      <c r="AE124" s="76">
        <f t="shared" si="87"/>
        <v>0</v>
      </c>
      <c r="AF124" s="76">
        <f t="shared" si="88"/>
        <v>0</v>
      </c>
      <c r="AG124" s="76">
        <f t="shared" si="89"/>
        <v>0</v>
      </c>
      <c r="AH124" s="76">
        <f t="shared" si="90"/>
        <v>0</v>
      </c>
      <c r="AI124" s="62" t="s">
        <v>99</v>
      </c>
      <c r="AJ124" s="76">
        <f t="shared" si="91"/>
        <v>0</v>
      </c>
      <c r="AK124" s="76">
        <f t="shared" si="92"/>
        <v>0</v>
      </c>
      <c r="AL124" s="76">
        <f t="shared" si="93"/>
        <v>0</v>
      </c>
      <c r="AN124" s="76">
        <v>21</v>
      </c>
      <c r="AO124" s="76">
        <f t="shared" si="94"/>
        <v>0</v>
      </c>
      <c r="AP124" s="76">
        <f t="shared" si="95"/>
        <v>0</v>
      </c>
      <c r="AQ124" s="79" t="s">
        <v>410</v>
      </c>
      <c r="AV124" s="76">
        <f t="shared" si="96"/>
        <v>0</v>
      </c>
      <c r="AW124" s="76">
        <f t="shared" si="97"/>
        <v>0</v>
      </c>
      <c r="AX124" s="76">
        <f t="shared" si="98"/>
        <v>0</v>
      </c>
      <c r="AY124" s="79" t="s">
        <v>411</v>
      </c>
      <c r="AZ124" s="79" t="s">
        <v>412</v>
      </c>
      <c r="BA124" s="62" t="s">
        <v>108</v>
      </c>
      <c r="BC124" s="76">
        <f t="shared" si="99"/>
        <v>0</v>
      </c>
      <c r="BD124" s="76">
        <f t="shared" si="100"/>
        <v>0</v>
      </c>
      <c r="BE124" s="76">
        <v>0</v>
      </c>
      <c r="BF124" s="76">
        <f>124</f>
        <v>124</v>
      </c>
      <c r="BH124" s="76">
        <f t="shared" si="101"/>
        <v>0</v>
      </c>
      <c r="BI124" s="76">
        <f t="shared" si="102"/>
        <v>0</v>
      </c>
      <c r="BJ124" s="76">
        <f t="shared" si="103"/>
        <v>0</v>
      </c>
      <c r="BK124" s="76"/>
      <c r="BL124" s="76"/>
    </row>
    <row r="125" spans="1:64" ht="15" customHeight="1">
      <c r="A125" s="80" t="s">
        <v>428</v>
      </c>
      <c r="B125" s="19" t="s">
        <v>429</v>
      </c>
      <c r="C125" s="19" t="s">
        <v>430</v>
      </c>
      <c r="D125" s="19"/>
      <c r="E125" s="19"/>
      <c r="F125" s="19"/>
      <c r="G125" s="19" t="s">
        <v>103</v>
      </c>
      <c r="H125" s="81">
        <v>7</v>
      </c>
      <c r="I125" s="82">
        <v>0</v>
      </c>
      <c r="J125" s="81">
        <f t="shared" si="80"/>
        <v>0</v>
      </c>
      <c r="K125" s="81">
        <f t="shared" si="81"/>
        <v>0</v>
      </c>
      <c r="L125" s="81">
        <f t="shared" si="82"/>
        <v>0</v>
      </c>
      <c r="M125" s="83" t="s">
        <v>104</v>
      </c>
      <c r="Z125" s="76">
        <f t="shared" si="83"/>
        <v>0</v>
      </c>
      <c r="AB125" s="76">
        <f t="shared" si="84"/>
        <v>0</v>
      </c>
      <c r="AC125" s="76">
        <f t="shared" si="85"/>
        <v>0</v>
      </c>
      <c r="AD125" s="76">
        <f t="shared" si="86"/>
        <v>0</v>
      </c>
      <c r="AE125" s="76">
        <f t="shared" si="87"/>
        <v>0</v>
      </c>
      <c r="AF125" s="76">
        <f t="shared" si="88"/>
        <v>0</v>
      </c>
      <c r="AG125" s="76">
        <f t="shared" si="89"/>
        <v>0</v>
      </c>
      <c r="AH125" s="76">
        <f t="shared" si="90"/>
        <v>0</v>
      </c>
      <c r="AI125" s="62" t="s">
        <v>99</v>
      </c>
      <c r="AJ125" s="76">
        <f t="shared" si="91"/>
        <v>0</v>
      </c>
      <c r="AK125" s="76">
        <f t="shared" si="92"/>
        <v>0</v>
      </c>
      <c r="AL125" s="76">
        <f t="shared" si="93"/>
        <v>0</v>
      </c>
      <c r="AN125" s="76">
        <v>21</v>
      </c>
      <c r="AO125" s="76">
        <f t="shared" si="94"/>
        <v>0</v>
      </c>
      <c r="AP125" s="76">
        <f t="shared" si="95"/>
        <v>0</v>
      </c>
      <c r="AQ125" s="79" t="s">
        <v>410</v>
      </c>
      <c r="AV125" s="76">
        <f t="shared" si="96"/>
        <v>0</v>
      </c>
      <c r="AW125" s="76">
        <f t="shared" si="97"/>
        <v>0</v>
      </c>
      <c r="AX125" s="76">
        <f t="shared" si="98"/>
        <v>0</v>
      </c>
      <c r="AY125" s="79" t="s">
        <v>411</v>
      </c>
      <c r="AZ125" s="79" t="s">
        <v>412</v>
      </c>
      <c r="BA125" s="62" t="s">
        <v>108</v>
      </c>
      <c r="BC125" s="76">
        <f t="shared" si="99"/>
        <v>0</v>
      </c>
      <c r="BD125" s="76">
        <f t="shared" si="100"/>
        <v>0</v>
      </c>
      <c r="BE125" s="76">
        <v>0</v>
      </c>
      <c r="BF125" s="76">
        <f>125</f>
        <v>125</v>
      </c>
      <c r="BH125" s="76">
        <f t="shared" si="101"/>
        <v>0</v>
      </c>
      <c r="BI125" s="76">
        <f t="shared" si="102"/>
        <v>0</v>
      </c>
      <c r="BJ125" s="76">
        <f t="shared" si="103"/>
        <v>0</v>
      </c>
      <c r="BK125" s="76"/>
      <c r="BL125" s="76"/>
    </row>
    <row r="126" spans="10:12" ht="15" customHeight="1">
      <c r="J126" s="84" t="s">
        <v>431</v>
      </c>
      <c r="K126" s="84"/>
      <c r="L126" s="85">
        <f>L13+L15+L94+L98+L100+L102+L104+L106+L118</f>
        <v>0</v>
      </c>
    </row>
    <row r="127" ht="15" customHeight="1">
      <c r="A127" s="50" t="s">
        <v>54</v>
      </c>
    </row>
    <row r="128" spans="1:13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</sheetData>
  <sheetProtection password="D675" sheet="1" selectLockedCells="1"/>
  <mergeCells count="144"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J4:M5"/>
    <mergeCell ref="A6:B7"/>
    <mergeCell ref="C6:D7"/>
    <mergeCell ref="E6:F7"/>
    <mergeCell ref="G6:H7"/>
    <mergeCell ref="I6:I7"/>
    <mergeCell ref="J6:M7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J126:K126"/>
    <mergeCell ref="A128:M128"/>
  </mergeCells>
  <printOptions/>
  <pageMargins left="0.39375" right="0.39375" top="0.5909722222222222" bottom="0.5909722222222222" header="0.5118110236220472" footer="0.5118110236220472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OutlineSymbols="0" zoomScale="110" zoomScaleNormal="110" workbookViewId="0" topLeftCell="A1">
      <pane ySplit="11" topLeftCell="A12" activePane="bottomLeft" state="frozen"/>
      <selection pane="topLeft" activeCell="A1" sqref="A1"/>
      <selection pane="bottomLeft" activeCell="G6" sqref="G6"/>
    </sheetView>
  </sheetViews>
  <sheetFormatPr defaultColWidth="9.33203125" defaultRowHeight="15" customHeight="1"/>
  <cols>
    <col min="1" max="2" width="10" style="1" customWidth="1"/>
    <col min="3" max="3" width="73.83203125" style="1" customWidth="1"/>
    <col min="4" max="4" width="21.33203125" style="1" customWidth="1"/>
    <col min="5" max="7" width="32.5" style="1" customWidth="1"/>
    <col min="8" max="9" width="14.16015625" style="1" hidden="1" customWidth="1"/>
    <col min="10" max="16384" width="14.16015625" style="0" customWidth="1"/>
  </cols>
  <sheetData>
    <row r="1" spans="1:7" ht="54.75" customHeight="1">
      <c r="A1" s="51" t="s">
        <v>432</v>
      </c>
      <c r="B1" s="51"/>
      <c r="C1" s="51"/>
      <c r="D1" s="51"/>
      <c r="E1" s="51"/>
      <c r="F1" s="51"/>
      <c r="G1" s="51"/>
    </row>
    <row r="2" spans="1:7" ht="15" customHeight="1">
      <c r="A2" s="3" t="s">
        <v>1</v>
      </c>
      <c r="B2" s="3"/>
      <c r="C2" s="4">
        <f>'Stavební rozpočet'!C2</f>
        <v>0</v>
      </c>
      <c r="D2" s="53" t="s">
        <v>57</v>
      </c>
      <c r="E2" s="53" t="s">
        <v>58</v>
      </c>
      <c r="F2" s="5" t="s">
        <v>2</v>
      </c>
      <c r="G2" s="86">
        <f>'Stavební rozpočet'!J2</f>
        <v>0</v>
      </c>
    </row>
    <row r="3" spans="1:7" ht="15" customHeight="1">
      <c r="A3" s="3"/>
      <c r="B3" s="3"/>
      <c r="C3" s="4"/>
      <c r="D3" s="53"/>
      <c r="E3" s="53"/>
      <c r="F3" s="53"/>
      <c r="G3" s="86"/>
    </row>
    <row r="4" spans="1:7" ht="15" customHeight="1">
      <c r="A4" s="8" t="s">
        <v>5</v>
      </c>
      <c r="B4" s="8"/>
      <c r="C4" s="10">
        <f>'Stavební rozpočet'!C4</f>
        <v>0</v>
      </c>
      <c r="D4" s="14" t="s">
        <v>11</v>
      </c>
      <c r="E4" s="14" t="s">
        <v>61</v>
      </c>
      <c r="F4" s="10" t="s">
        <v>6</v>
      </c>
      <c r="G4" s="87">
        <f>'Stavební rozpočet'!J4</f>
        <v>0</v>
      </c>
    </row>
    <row r="5" spans="1:7" ht="15" customHeight="1">
      <c r="A5" s="8"/>
      <c r="B5" s="8"/>
      <c r="C5" s="10"/>
      <c r="D5" s="10"/>
      <c r="E5" s="10"/>
      <c r="F5" s="10"/>
      <c r="G5" s="87"/>
    </row>
    <row r="6" spans="1:7" ht="15" customHeight="1">
      <c r="A6" s="8" t="s">
        <v>8</v>
      </c>
      <c r="B6" s="8"/>
      <c r="C6" s="10">
        <f>'Stavební rozpočet'!C6</f>
        <v>0</v>
      </c>
      <c r="D6" s="14" t="s">
        <v>12</v>
      </c>
      <c r="E6" s="14" t="s">
        <v>64</v>
      </c>
      <c r="F6" s="10" t="s">
        <v>9</v>
      </c>
      <c r="G6" s="56" t="s">
        <v>10</v>
      </c>
    </row>
    <row r="7" spans="1:7" ht="15" customHeight="1">
      <c r="A7" s="8"/>
      <c r="B7" s="8"/>
      <c r="C7" s="10"/>
      <c r="D7" s="10"/>
      <c r="E7" s="10"/>
      <c r="F7" s="10"/>
      <c r="G7" s="56"/>
    </row>
    <row r="8" spans="1:7" ht="15" customHeight="1">
      <c r="A8" s="8" t="s">
        <v>15</v>
      </c>
      <c r="B8" s="8"/>
      <c r="C8" s="10">
        <f>'Stavební rozpočet'!J8</f>
        <v>0</v>
      </c>
      <c r="D8" s="19" t="s">
        <v>66</v>
      </c>
      <c r="E8" s="14" t="s">
        <v>67</v>
      </c>
      <c r="F8" s="14" t="s">
        <v>66</v>
      </c>
      <c r="G8" s="87">
        <f>'Stavební rozpočet'!G8</f>
        <v>0</v>
      </c>
    </row>
    <row r="9" spans="1:7" ht="15" customHeight="1">
      <c r="A9" s="8"/>
      <c r="B9" s="8"/>
      <c r="C9" s="10"/>
      <c r="D9" s="19"/>
      <c r="E9" s="14"/>
      <c r="F9" s="14"/>
      <c r="G9" s="87"/>
    </row>
    <row r="10" spans="1:7" ht="15" customHeight="1">
      <c r="A10" s="88" t="s">
        <v>433</v>
      </c>
      <c r="B10" s="89" t="s">
        <v>70</v>
      </c>
      <c r="C10" s="58" t="s">
        <v>71</v>
      </c>
      <c r="E10" s="90" t="s">
        <v>434</v>
      </c>
      <c r="F10" s="91" t="s">
        <v>435</v>
      </c>
      <c r="G10" s="91" t="s">
        <v>436</v>
      </c>
    </row>
    <row r="11" spans="1:9" ht="15" customHeight="1">
      <c r="A11" s="75" t="s">
        <v>99</v>
      </c>
      <c r="B11" s="14"/>
      <c r="C11" s="14" t="s">
        <v>96</v>
      </c>
      <c r="D11" s="14"/>
      <c r="E11" s="76">
        <f>'Stavební rozpočet'!J12</f>
        <v>0</v>
      </c>
      <c r="F11" s="76">
        <f>'Stavební rozpočet'!K12</f>
        <v>0</v>
      </c>
      <c r="G11" s="76">
        <f>'Stavební rozpočet'!L12</f>
        <v>0</v>
      </c>
      <c r="H11" s="79" t="s">
        <v>437</v>
      </c>
      <c r="I11" s="76">
        <f aca="true" t="shared" si="0" ref="I11:I20">IF(H11="F",0,G11)</f>
        <v>0</v>
      </c>
    </row>
    <row r="12" spans="1:9" ht="15" customHeight="1">
      <c r="A12" s="75" t="s">
        <v>99</v>
      </c>
      <c r="B12" s="14" t="s">
        <v>97</v>
      </c>
      <c r="C12" s="14" t="s">
        <v>98</v>
      </c>
      <c r="D12" s="14"/>
      <c r="E12" s="76">
        <f>'Stavební rozpočet'!J13</f>
        <v>0</v>
      </c>
      <c r="F12" s="76">
        <f>'Stavební rozpočet'!K13</f>
        <v>0</v>
      </c>
      <c r="G12" s="76">
        <f>'Stavební rozpočet'!L13</f>
        <v>0</v>
      </c>
      <c r="H12" s="79" t="s">
        <v>438</v>
      </c>
      <c r="I12" s="76">
        <f t="shared" si="0"/>
        <v>0</v>
      </c>
    </row>
    <row r="13" spans="1:9" ht="15" customHeight="1">
      <c r="A13" s="75" t="s">
        <v>99</v>
      </c>
      <c r="B13" s="14" t="s">
        <v>109</v>
      </c>
      <c r="C13" s="14" t="s">
        <v>110</v>
      </c>
      <c r="D13" s="14"/>
      <c r="E13" s="76">
        <f>'Stavební rozpočet'!J15</f>
        <v>0</v>
      </c>
      <c r="F13" s="76">
        <f>'Stavební rozpočet'!K15</f>
        <v>0</v>
      </c>
      <c r="G13" s="76">
        <f>'Stavební rozpočet'!L15</f>
        <v>0</v>
      </c>
      <c r="H13" s="79" t="s">
        <v>438</v>
      </c>
      <c r="I13" s="76">
        <f t="shared" si="0"/>
        <v>0</v>
      </c>
    </row>
    <row r="14" spans="1:9" ht="15" customHeight="1">
      <c r="A14" s="75" t="s">
        <v>99</v>
      </c>
      <c r="B14" s="14" t="s">
        <v>333</v>
      </c>
      <c r="C14" s="14" t="s">
        <v>334</v>
      </c>
      <c r="D14" s="14"/>
      <c r="E14" s="76">
        <f>'Stavební rozpočet'!J94</f>
        <v>0</v>
      </c>
      <c r="F14" s="76">
        <f>'Stavební rozpočet'!K94</f>
        <v>0</v>
      </c>
      <c r="G14" s="76">
        <f>'Stavební rozpočet'!L94</f>
        <v>0</v>
      </c>
      <c r="H14" s="79" t="s">
        <v>438</v>
      </c>
      <c r="I14" s="76">
        <f t="shared" si="0"/>
        <v>0</v>
      </c>
    </row>
    <row r="15" spans="1:9" ht="15" customHeight="1">
      <c r="A15" s="75" t="s">
        <v>99</v>
      </c>
      <c r="B15" s="14" t="s">
        <v>346</v>
      </c>
      <c r="C15" s="14" t="s">
        <v>347</v>
      </c>
      <c r="D15" s="14"/>
      <c r="E15" s="76">
        <f>'Stavební rozpočet'!J98</f>
        <v>0</v>
      </c>
      <c r="F15" s="76">
        <f>'Stavební rozpočet'!K98</f>
        <v>0</v>
      </c>
      <c r="G15" s="76">
        <f>'Stavební rozpočet'!L98</f>
        <v>0</v>
      </c>
      <c r="H15" s="79" t="s">
        <v>438</v>
      </c>
      <c r="I15" s="76">
        <f t="shared" si="0"/>
        <v>0</v>
      </c>
    </row>
    <row r="16" spans="1:9" ht="15" customHeight="1">
      <c r="A16" s="75" t="s">
        <v>99</v>
      </c>
      <c r="B16" s="14" t="s">
        <v>353</v>
      </c>
      <c r="C16" s="14" t="s">
        <v>354</v>
      </c>
      <c r="D16" s="14"/>
      <c r="E16" s="76">
        <f>'Stavební rozpočet'!J100</f>
        <v>0</v>
      </c>
      <c r="F16" s="76">
        <f>'Stavební rozpočet'!K100</f>
        <v>0</v>
      </c>
      <c r="G16" s="76">
        <f>'Stavební rozpočet'!L100</f>
        <v>0</v>
      </c>
      <c r="H16" s="79" t="s">
        <v>438</v>
      </c>
      <c r="I16" s="76">
        <f t="shared" si="0"/>
        <v>0</v>
      </c>
    </row>
    <row r="17" spans="1:9" ht="15" customHeight="1">
      <c r="A17" s="75" t="s">
        <v>99</v>
      </c>
      <c r="B17" s="14" t="s">
        <v>361</v>
      </c>
      <c r="C17" s="14" t="s">
        <v>110</v>
      </c>
      <c r="D17" s="14"/>
      <c r="E17" s="76">
        <f>'Stavební rozpočet'!J102</f>
        <v>0</v>
      </c>
      <c r="F17" s="76">
        <f>'Stavební rozpočet'!K102</f>
        <v>0</v>
      </c>
      <c r="G17" s="76">
        <f>'Stavební rozpočet'!L102</f>
        <v>0</v>
      </c>
      <c r="H17" s="79" t="s">
        <v>438</v>
      </c>
      <c r="I17" s="76">
        <f t="shared" si="0"/>
        <v>0</v>
      </c>
    </row>
    <row r="18" spans="1:9" ht="15" customHeight="1">
      <c r="A18" s="75" t="s">
        <v>99</v>
      </c>
      <c r="B18" s="14" t="s">
        <v>367</v>
      </c>
      <c r="C18" s="14" t="s">
        <v>368</v>
      </c>
      <c r="D18" s="14"/>
      <c r="E18" s="76">
        <f>'Stavební rozpočet'!J104</f>
        <v>0</v>
      </c>
      <c r="F18" s="76">
        <f>'Stavební rozpočet'!K104</f>
        <v>0</v>
      </c>
      <c r="G18" s="76">
        <f>'Stavební rozpočet'!L104</f>
        <v>0</v>
      </c>
      <c r="H18" s="79" t="s">
        <v>438</v>
      </c>
      <c r="I18" s="76">
        <f t="shared" si="0"/>
        <v>0</v>
      </c>
    </row>
    <row r="19" spans="1:9" ht="15" customHeight="1">
      <c r="A19" s="75" t="s">
        <v>99</v>
      </c>
      <c r="B19" s="14" t="s">
        <v>373</v>
      </c>
      <c r="C19" s="14" t="s">
        <v>374</v>
      </c>
      <c r="D19" s="14"/>
      <c r="E19" s="76">
        <f>'Stavební rozpočet'!J106</f>
        <v>0</v>
      </c>
      <c r="F19" s="76">
        <f>'Stavební rozpočet'!K106</f>
        <v>0</v>
      </c>
      <c r="G19" s="76">
        <f>'Stavební rozpočet'!L106</f>
        <v>0</v>
      </c>
      <c r="H19" s="79" t="s">
        <v>438</v>
      </c>
      <c r="I19" s="76">
        <f t="shared" si="0"/>
        <v>0</v>
      </c>
    </row>
    <row r="20" spans="1:9" ht="15" customHeight="1">
      <c r="A20" s="75" t="s">
        <v>99</v>
      </c>
      <c r="B20" s="14"/>
      <c r="C20" s="14" t="s">
        <v>34</v>
      </c>
      <c r="D20" s="14"/>
      <c r="E20" s="76">
        <f>'Stavební rozpočet'!J118</f>
        <v>0</v>
      </c>
      <c r="F20" s="76">
        <f>'Stavební rozpočet'!K118</f>
        <v>0</v>
      </c>
      <c r="G20" s="76">
        <f>'Stavební rozpočet'!L118</f>
        <v>0</v>
      </c>
      <c r="H20" s="79" t="s">
        <v>438</v>
      </c>
      <c r="I20" s="76">
        <f t="shared" si="0"/>
        <v>0</v>
      </c>
    </row>
    <row r="21" spans="6:7" ht="15" customHeight="1">
      <c r="F21" s="84" t="s">
        <v>431</v>
      </c>
      <c r="G21" s="85">
        <f>SUM(I11:I20)</f>
        <v>0</v>
      </c>
    </row>
  </sheetData>
  <sheetProtection password="D675" sheet="1" selectLockedCells="1"/>
  <mergeCells count="3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rintOptions/>
  <pageMargins left="0.39375" right="0.39375" top="0.5909722222222222" bottom="0.5909722222222222" header="0.5118110236220472" footer="0.5118110236220472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="110" zoomScaleNormal="110" workbookViewId="0" topLeftCell="A1">
      <selection activeCell="F21" sqref="F21"/>
    </sheetView>
  </sheetViews>
  <sheetFormatPr defaultColWidth="9.33203125" defaultRowHeight="15" customHeight="1"/>
  <cols>
    <col min="1" max="1" width="10.66015625" style="1" customWidth="1"/>
    <col min="2" max="2" width="15" style="1" customWidth="1"/>
    <col min="3" max="3" width="26.66015625" style="1" customWidth="1"/>
    <col min="4" max="4" width="11.66015625" style="1" customWidth="1"/>
    <col min="5" max="5" width="16.33203125" style="1" customWidth="1"/>
    <col min="6" max="6" width="26.66015625" style="1" customWidth="1"/>
    <col min="7" max="7" width="10.66015625" style="1" customWidth="1"/>
    <col min="8" max="8" width="20" style="1" customWidth="1"/>
    <col min="9" max="9" width="26.66015625" style="1" customWidth="1"/>
    <col min="10" max="16384" width="14.16015625" style="0" customWidth="1"/>
  </cols>
  <sheetData>
    <row r="1" spans="1:9" ht="54.75" customHeight="1">
      <c r="A1" s="2" t="s">
        <v>439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/>
      <c r="C2" s="4">
        <f>'Stavební rozpočet'!C2</f>
        <v>0</v>
      </c>
      <c r="D2" s="4"/>
      <c r="E2" s="5" t="s">
        <v>2</v>
      </c>
      <c r="F2" s="6">
        <f>'Stavební rozpočet'!J2</f>
        <v>0</v>
      </c>
      <c r="G2" s="6"/>
      <c r="H2" s="5" t="s">
        <v>3</v>
      </c>
      <c r="I2" s="7" t="s">
        <v>4</v>
      </c>
    </row>
    <row r="3" spans="1:9" ht="15" customHeight="1">
      <c r="A3" s="3"/>
      <c r="B3" s="3"/>
      <c r="C3" s="4"/>
      <c r="D3" s="4"/>
      <c r="E3" s="5"/>
      <c r="F3" s="5"/>
      <c r="G3" s="6"/>
      <c r="H3" s="5"/>
      <c r="I3" s="7"/>
    </row>
    <row r="4" spans="1:9" ht="15" customHeight="1">
      <c r="A4" s="8" t="s">
        <v>5</v>
      </c>
      <c r="B4" s="8"/>
      <c r="C4" s="9">
        <f>'Stavební rozpočet'!C4</f>
        <v>0</v>
      </c>
      <c r="D4" s="9"/>
      <c r="E4" s="10" t="s">
        <v>6</v>
      </c>
      <c r="F4" s="9">
        <f>'Stavební rozpočet'!J4</f>
        <v>0</v>
      </c>
      <c r="G4" s="9"/>
      <c r="H4" s="10" t="s">
        <v>3</v>
      </c>
      <c r="I4" s="11" t="s">
        <v>7</v>
      </c>
    </row>
    <row r="5" spans="1:9" ht="15" customHeight="1">
      <c r="A5" s="8"/>
      <c r="B5" s="8"/>
      <c r="C5" s="9"/>
      <c r="D5" s="9"/>
      <c r="E5" s="10"/>
      <c r="F5" s="10"/>
      <c r="G5" s="9"/>
      <c r="H5" s="10"/>
      <c r="I5" s="11"/>
    </row>
    <row r="6" spans="1:9" ht="15" customHeight="1">
      <c r="A6" s="8" t="s">
        <v>8</v>
      </c>
      <c r="B6" s="8"/>
      <c r="C6" s="9">
        <f>'Stavební rozpočet'!C6</f>
        <v>0</v>
      </c>
      <c r="D6" s="9"/>
      <c r="E6" s="10" t="s">
        <v>9</v>
      </c>
      <c r="F6" s="12" t="s">
        <v>10</v>
      </c>
      <c r="G6" s="12"/>
      <c r="H6" s="10" t="s">
        <v>3</v>
      </c>
      <c r="I6" s="13">
        <v>123456789</v>
      </c>
    </row>
    <row r="7" spans="1:9" ht="15" customHeight="1">
      <c r="A7" s="8"/>
      <c r="B7" s="8"/>
      <c r="C7" s="9"/>
      <c r="D7" s="9"/>
      <c r="E7" s="10"/>
      <c r="F7" s="12"/>
      <c r="G7" s="12"/>
      <c r="H7" s="10"/>
      <c r="I7" s="13"/>
    </row>
    <row r="8" spans="1:9" ht="15" customHeight="1">
      <c r="A8" s="8" t="s">
        <v>11</v>
      </c>
      <c r="B8" s="8"/>
      <c r="C8" s="9">
        <f>'Stavební rozpočet'!G4</f>
        <v>0</v>
      </c>
      <c r="D8" s="9"/>
      <c r="E8" s="10" t="s">
        <v>12</v>
      </c>
      <c r="F8" s="9">
        <f>'Stavební rozpočet'!G6</f>
        <v>0</v>
      </c>
      <c r="G8" s="9"/>
      <c r="H8" s="14" t="s">
        <v>13</v>
      </c>
      <c r="I8" s="15">
        <v>104</v>
      </c>
    </row>
    <row r="9" spans="1:9" ht="15" customHeight="1">
      <c r="A9" s="8"/>
      <c r="B9" s="8"/>
      <c r="C9" s="9"/>
      <c r="D9" s="9"/>
      <c r="E9" s="10"/>
      <c r="F9" s="10"/>
      <c r="G9" s="9"/>
      <c r="H9" s="14"/>
      <c r="I9" s="15"/>
    </row>
    <row r="10" spans="1:9" ht="15" customHeight="1">
      <c r="A10" s="16" t="s">
        <v>14</v>
      </c>
      <c r="B10" s="16"/>
      <c r="C10" s="17">
        <f>'Stavební rozpočet'!C8</f>
        <v>0</v>
      </c>
      <c r="D10" s="17"/>
      <c r="E10" s="18" t="s">
        <v>15</v>
      </c>
      <c r="F10" s="17">
        <f>'Stavební rozpočet'!J8</f>
        <v>0</v>
      </c>
      <c r="G10" s="17"/>
      <c r="H10" s="19" t="s">
        <v>16</v>
      </c>
      <c r="I10" s="20">
        <f>'Stavební rozpočet'!G8</f>
        <v>0</v>
      </c>
    </row>
    <row r="11" spans="1:9" ht="15" customHeight="1">
      <c r="A11" s="16"/>
      <c r="B11" s="16"/>
      <c r="C11" s="17"/>
      <c r="D11" s="17"/>
      <c r="E11" s="18"/>
      <c r="F11" s="18"/>
      <c r="G11" s="17"/>
      <c r="H11" s="19"/>
      <c r="I11" s="20"/>
    </row>
    <row r="13" spans="1:5" ht="15.75" customHeight="1">
      <c r="A13" s="92" t="s">
        <v>440</v>
      </c>
      <c r="B13" s="92"/>
      <c r="C13" s="92"/>
      <c r="D13" s="92"/>
      <c r="E13" s="92"/>
    </row>
    <row r="14" spans="1:9" ht="15" customHeight="1">
      <c r="A14" s="84"/>
      <c r="B14" s="84"/>
      <c r="C14" s="84"/>
      <c r="D14" s="84"/>
      <c r="E14" s="84"/>
      <c r="F14" s="63"/>
      <c r="G14" s="63"/>
      <c r="H14" s="63"/>
      <c r="I14" s="63"/>
    </row>
    <row r="15" spans="1:9" ht="15" customHeight="1">
      <c r="A15" s="14"/>
      <c r="B15" s="14"/>
      <c r="C15" s="14"/>
      <c r="D15" s="14"/>
      <c r="E15" s="14"/>
      <c r="F15" s="76"/>
      <c r="G15" s="14"/>
      <c r="H15" s="14"/>
      <c r="I15" s="76"/>
    </row>
    <row r="16" spans="1:9" ht="15" customHeight="1">
      <c r="A16" s="14"/>
      <c r="B16" s="14"/>
      <c r="C16" s="14"/>
      <c r="D16" s="14"/>
      <c r="E16" s="14"/>
      <c r="F16" s="76"/>
      <c r="G16" s="14"/>
      <c r="H16" s="14"/>
      <c r="I16" s="76"/>
    </row>
    <row r="17" spans="1:9" ht="15" customHeight="1">
      <c r="A17" s="14"/>
      <c r="B17" s="14"/>
      <c r="C17" s="14"/>
      <c r="D17" s="14"/>
      <c r="E17" s="14"/>
      <c r="F17" s="76"/>
      <c r="G17" s="14"/>
      <c r="H17" s="14"/>
      <c r="I17" s="76"/>
    </row>
    <row r="18" spans="1:9" ht="15" customHeight="1">
      <c r="A18" s="84"/>
      <c r="B18" s="84"/>
      <c r="C18" s="84"/>
      <c r="D18" s="84"/>
      <c r="E18" s="84"/>
      <c r="F18" s="84"/>
      <c r="G18" s="63"/>
      <c r="H18" s="63"/>
      <c r="I18" s="85"/>
    </row>
    <row r="20" spans="1:9" ht="15" customHeight="1">
      <c r="A20" s="93" t="s">
        <v>23</v>
      </c>
      <c r="B20" s="93"/>
      <c r="C20" s="93"/>
      <c r="D20" s="93"/>
      <c r="E20" s="93"/>
      <c r="F20" s="94" t="s">
        <v>441</v>
      </c>
      <c r="G20" s="94"/>
      <c r="H20" s="94" t="s">
        <v>442</v>
      </c>
      <c r="I20" s="94" t="s">
        <v>441</v>
      </c>
    </row>
    <row r="21" spans="1:9" ht="15" customHeight="1">
      <c r="A21" s="95" t="s">
        <v>26</v>
      </c>
      <c r="B21" s="95"/>
      <c r="C21" s="95"/>
      <c r="D21" s="95"/>
      <c r="E21" s="95"/>
      <c r="F21" s="96">
        <v>0</v>
      </c>
      <c r="G21" s="97"/>
      <c r="H21" s="97"/>
      <c r="I21" s="98">
        <f aca="true" t="shared" si="0" ref="I21:I25">F21</f>
        <v>0</v>
      </c>
    </row>
    <row r="22" spans="1:9" ht="15" customHeight="1">
      <c r="A22" s="95" t="s">
        <v>28</v>
      </c>
      <c r="B22" s="95"/>
      <c r="C22" s="95"/>
      <c r="D22" s="95"/>
      <c r="E22" s="95"/>
      <c r="F22" s="96">
        <v>0</v>
      </c>
      <c r="G22" s="97"/>
      <c r="H22" s="97"/>
      <c r="I22" s="98">
        <f t="shared" si="0"/>
        <v>0</v>
      </c>
    </row>
    <row r="23" spans="1:9" ht="15" customHeight="1">
      <c r="A23" s="95" t="s">
        <v>30</v>
      </c>
      <c r="B23" s="95"/>
      <c r="C23" s="95"/>
      <c r="D23" s="95"/>
      <c r="E23" s="95"/>
      <c r="F23" s="96">
        <v>0</v>
      </c>
      <c r="G23" s="97"/>
      <c r="H23" s="97"/>
      <c r="I23" s="98">
        <f t="shared" si="0"/>
        <v>0</v>
      </c>
    </row>
    <row r="24" spans="1:9" ht="15" customHeight="1">
      <c r="A24" s="95" t="s">
        <v>31</v>
      </c>
      <c r="B24" s="95"/>
      <c r="C24" s="95"/>
      <c r="D24" s="95"/>
      <c r="E24" s="95"/>
      <c r="F24" s="96">
        <v>0</v>
      </c>
      <c r="G24" s="97"/>
      <c r="H24" s="97"/>
      <c r="I24" s="98">
        <f t="shared" si="0"/>
        <v>0</v>
      </c>
    </row>
    <row r="25" spans="1:9" ht="15" customHeight="1">
      <c r="A25" s="95" t="s">
        <v>33</v>
      </c>
      <c r="B25" s="95"/>
      <c r="C25" s="95"/>
      <c r="D25" s="95"/>
      <c r="E25" s="95"/>
      <c r="F25" s="96">
        <v>0</v>
      </c>
      <c r="G25" s="97"/>
      <c r="H25" s="97"/>
      <c r="I25" s="98">
        <f t="shared" si="0"/>
        <v>0</v>
      </c>
    </row>
    <row r="26" spans="1:9" ht="15" customHeight="1">
      <c r="A26" s="99"/>
      <c r="B26" s="99"/>
      <c r="C26" s="99"/>
      <c r="D26" s="99"/>
      <c r="E26" s="99"/>
      <c r="F26" s="100"/>
      <c r="G26" s="11"/>
      <c r="H26" s="11"/>
      <c r="I26" s="100"/>
    </row>
    <row r="27" spans="1:9" ht="15" customHeight="1">
      <c r="A27" s="101" t="s">
        <v>443</v>
      </c>
      <c r="B27" s="101"/>
      <c r="C27" s="101"/>
      <c r="D27" s="101"/>
      <c r="E27" s="101"/>
      <c r="F27" s="102"/>
      <c r="G27" s="103"/>
      <c r="H27" s="103"/>
      <c r="I27" s="104">
        <f>SUM(I21:I26)</f>
        <v>0</v>
      </c>
    </row>
    <row r="29" spans="1:9" ht="15.75" customHeight="1">
      <c r="A29" s="105" t="s">
        <v>444</v>
      </c>
      <c r="B29" s="105"/>
      <c r="C29" s="105"/>
      <c r="D29" s="105"/>
      <c r="E29" s="105"/>
      <c r="F29" s="106">
        <f>I18+I27</f>
        <v>0</v>
      </c>
      <c r="G29" s="106"/>
      <c r="H29" s="106"/>
      <c r="I29" s="106"/>
    </row>
    <row r="33" spans="1:5" ht="15.75" customHeight="1">
      <c r="A33" s="92" t="s">
        <v>445</v>
      </c>
      <c r="B33" s="92"/>
      <c r="C33" s="92"/>
      <c r="D33" s="92"/>
      <c r="E33" s="92"/>
    </row>
    <row r="34" spans="1:9" ht="15" customHeight="1">
      <c r="A34" s="93" t="s">
        <v>446</v>
      </c>
      <c r="B34" s="93"/>
      <c r="C34" s="93"/>
      <c r="D34" s="93"/>
      <c r="E34" s="93"/>
      <c r="F34" s="94" t="s">
        <v>441</v>
      </c>
      <c r="G34" s="94"/>
      <c r="H34" s="94" t="s">
        <v>442</v>
      </c>
      <c r="I34" s="94" t="s">
        <v>441</v>
      </c>
    </row>
    <row r="35" spans="1:9" ht="15" customHeight="1">
      <c r="A35" s="95"/>
      <c r="B35" s="95"/>
      <c r="C35" s="95"/>
      <c r="D35" s="95"/>
      <c r="E35" s="95"/>
      <c r="F35" s="98"/>
      <c r="G35" s="97"/>
      <c r="H35" s="97"/>
      <c r="I35" s="98"/>
    </row>
    <row r="36" spans="1:9" ht="15" customHeight="1">
      <c r="A36" s="99" t="s">
        <v>447</v>
      </c>
      <c r="B36" s="99"/>
      <c r="C36" s="99"/>
      <c r="D36" s="99"/>
      <c r="E36" s="99"/>
      <c r="F36" s="107">
        <v>0</v>
      </c>
      <c r="G36" s="11"/>
      <c r="H36" s="11"/>
      <c r="I36" s="100">
        <f>F36</f>
        <v>0</v>
      </c>
    </row>
    <row r="37" spans="1:9" ht="15" customHeight="1">
      <c r="A37" s="101" t="s">
        <v>448</v>
      </c>
      <c r="B37" s="101"/>
      <c r="C37" s="101"/>
      <c r="D37" s="101"/>
      <c r="E37" s="101"/>
      <c r="F37" s="102"/>
      <c r="G37" s="103"/>
      <c r="H37" s="103"/>
      <c r="I37" s="104">
        <f>SUM(I35:I36)</f>
        <v>0</v>
      </c>
    </row>
  </sheetData>
  <sheetProtection password="D675" sheet="1" selectLockedCells="1"/>
  <mergeCells count="52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  <mergeCell ref="A37:E37"/>
  </mergeCells>
  <printOptions/>
  <pageMargins left="0.39375" right="0.39375" top="0.5909722222222222" bottom="0.5909722222222222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2021-06-10T20:06:38Z</dcterms:created>
  <dcterms:modified xsi:type="dcterms:W3CDTF">2024-01-15T15:40:32Z</dcterms:modified>
  <cp:category/>
  <cp:version/>
  <cp:contentType/>
  <cp:contentStatus/>
  <cp:revision>3</cp:revision>
</cp:coreProperties>
</file>